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defaultThemeVersion="124226"/>
  <mc:AlternateContent xmlns:mc="http://schemas.openxmlformats.org/markup-compatibility/2006">
    <mc:Choice Requires="x15">
      <x15ac:absPath xmlns:x15ac="http://schemas.microsoft.com/office/spreadsheetml/2010/11/ac" url="C:\Users\Orion\Desktop\Progetto PIU\Data_Analysis_Tools\"/>
    </mc:Choice>
  </mc:AlternateContent>
  <xr:revisionPtr revIDLastSave="0" documentId="13_ncr:1_{A8A9B449-D131-4593-B4EE-1C822C231A3A}" xr6:coauthVersionLast="45" xr6:coauthVersionMax="45" xr10:uidLastSave="{00000000-0000-0000-0000-000000000000}"/>
  <bookViews>
    <workbookView xWindow="-120" yWindow="-120" windowWidth="38640" windowHeight="21240" tabRatio="897" activeTab="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7" i="16" l="1"/>
  <c r="T9" i="16"/>
  <c r="T8" i="16"/>
  <c r="T7" i="16"/>
  <c r="T6" i="16"/>
  <c r="U6" i="16" s="1"/>
  <c r="T5" i="16"/>
  <c r="T4" i="16"/>
  <c r="S9" i="16"/>
  <c r="U9" i="16" s="1"/>
  <c r="S8" i="16"/>
  <c r="U8" i="16" s="1"/>
  <c r="V8" i="16" s="1"/>
  <c r="S7" i="16"/>
  <c r="S6" i="16"/>
  <c r="S5" i="16"/>
  <c r="U5" i="16" s="1"/>
  <c r="S4" i="16"/>
  <c r="U4" i="16" s="1"/>
  <c r="R9" i="16"/>
  <c r="R8" i="16"/>
  <c r="W8" i="16" s="1"/>
  <c r="R7" i="16"/>
  <c r="V7" i="16" s="1"/>
  <c r="R6" i="16"/>
  <c r="R5" i="16"/>
  <c r="R4" i="16"/>
  <c r="Q9" i="16"/>
  <c r="N3" i="16"/>
  <c r="Q8" i="16"/>
  <c r="M3" i="16"/>
  <c r="Q7" i="16"/>
  <c r="L3" i="16"/>
  <c r="Q6" i="16"/>
  <c r="K3" i="16"/>
  <c r="Q5" i="16"/>
  <c r="J3" i="16"/>
  <c r="Q4" i="16"/>
  <c r="I3" i="16"/>
  <c r="W9" i="16" l="1"/>
  <c r="V4" i="16"/>
  <c r="V5" i="16"/>
  <c r="V6"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8" i="14" l="1"/>
  <c r="AG102" i="14"/>
  <c r="AG106" i="14"/>
  <c r="AG110" i="14"/>
  <c r="AG114" i="14"/>
  <c r="AG118" i="14"/>
  <c r="AG122" i="14"/>
  <c r="AG126" i="14"/>
  <c r="AG130" i="14"/>
  <c r="AG134" i="14"/>
  <c r="AG138" i="14"/>
  <c r="AG142" i="14"/>
  <c r="AG146"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262" i="14"/>
  <c r="AG266" i="14"/>
  <c r="AG270" i="14"/>
  <c r="AG274" i="14"/>
  <c r="AG278" i="14"/>
  <c r="AG282" i="14"/>
  <c r="AG286" i="14"/>
  <c r="AG290" i="14"/>
  <c r="AG294" i="14"/>
  <c r="AG298" i="14"/>
  <c r="AG302" i="14"/>
  <c r="AG306" i="14"/>
  <c r="AG310" i="14"/>
  <c r="AG314" i="14"/>
  <c r="AG318" i="14"/>
  <c r="AG322" i="14"/>
  <c r="AG326" i="14"/>
  <c r="AG330" i="14"/>
  <c r="AG334" i="14"/>
  <c r="AG338" i="14"/>
  <c r="AG342" i="14"/>
  <c r="AG346" i="14"/>
  <c r="AG350" i="14"/>
  <c r="AG354" i="14"/>
  <c r="AG358" i="14"/>
  <c r="AG362" i="14"/>
  <c r="AG366" i="14"/>
  <c r="AG370" i="14"/>
  <c r="AG374" i="14"/>
  <c r="AG378" i="14"/>
  <c r="AG382" i="14"/>
  <c r="AG386" i="14"/>
  <c r="AG390" i="14"/>
  <c r="AG394" i="14"/>
  <c r="AG398" i="14"/>
  <c r="AG402" i="14"/>
  <c r="AG406" i="14"/>
  <c r="AG410" i="14"/>
  <c r="AG414" i="14"/>
  <c r="AG418" i="14"/>
  <c r="AG422" i="14"/>
  <c r="AG426" i="14"/>
  <c r="AG430" i="14"/>
  <c r="AG434" i="14"/>
  <c r="AG438" i="14"/>
  <c r="AG442" i="14"/>
  <c r="AG446" i="14"/>
  <c r="AG450" i="14"/>
  <c r="AG454" i="14"/>
  <c r="AG458" i="14"/>
  <c r="AG462" i="14"/>
  <c r="AG466" i="14"/>
  <c r="AG470" i="14"/>
  <c r="AG474" i="14"/>
  <c r="AG478" i="14"/>
  <c r="AG736" i="14"/>
  <c r="AG740" i="14"/>
  <c r="AF999" i="14"/>
  <c r="AF1003"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H819" i="14"/>
  <c r="AG822" i="14"/>
  <c r="AH823" i="14"/>
  <c r="AH827" i="14"/>
  <c r="AH831" i="14"/>
  <c r="AH835" i="14"/>
  <c r="AH839" i="14"/>
  <c r="AH843" i="14"/>
  <c r="AH847" i="14"/>
  <c r="AH851" i="14"/>
  <c r="AH855" i="14"/>
  <c r="AH859" i="14"/>
  <c r="AH863" i="14"/>
  <c r="AH867" i="14"/>
  <c r="AH871"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I221" i="14" s="1"/>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39" i="14" l="1"/>
  <c r="AI207" i="14"/>
  <c r="AI175" i="14"/>
  <c r="AI153" i="14"/>
  <c r="AI184" i="14"/>
  <c r="AI212" i="14"/>
  <c r="AI156"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E17" i="7" l="1"/>
  <c r="AC21" i="7"/>
  <c r="AE21" i="7"/>
  <c r="AC25" i="7"/>
  <c r="AE25" i="7"/>
  <c r="AC29"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E89" i="7"/>
  <c r="AE93" i="7"/>
  <c r="AE97" i="7"/>
  <c r="AE101" i="7"/>
  <c r="AE105" i="7"/>
  <c r="AE109" i="7"/>
  <c r="AE113" i="7"/>
  <c r="AC117" i="7"/>
  <c r="AC121" i="7"/>
  <c r="AE125" i="7"/>
  <c r="AC129" i="7"/>
  <c r="AC133" i="7"/>
  <c r="AE137" i="7"/>
  <c r="AE141" i="7"/>
  <c r="AE145" i="7"/>
  <c r="AC149" i="7"/>
  <c r="AE153" i="7"/>
  <c r="AE157" i="7"/>
  <c r="AC161" i="7"/>
  <c r="AC165" i="7"/>
  <c r="AE169" i="7"/>
  <c r="AC173" i="7"/>
  <c r="AE173" i="7"/>
  <c r="AC177" i="7"/>
  <c r="AE177" i="7"/>
  <c r="AC181" i="7"/>
  <c r="AE181" i="7"/>
  <c r="AC185" i="7"/>
  <c r="AE185" i="7"/>
  <c r="AC189" i="7"/>
  <c r="AE189" i="7"/>
  <c r="AC193" i="7"/>
  <c r="AE193" i="7"/>
  <c r="AC197" i="7"/>
  <c r="AE197" i="7"/>
  <c r="AC201" i="7"/>
  <c r="AE201" i="7"/>
  <c r="AC205" i="7"/>
  <c r="AE205" i="7"/>
  <c r="AC209" i="7"/>
  <c r="AE209" i="7"/>
  <c r="AC213" i="7"/>
  <c r="AE213" i="7"/>
  <c r="AC217" i="7"/>
  <c r="AE217" i="7"/>
  <c r="AC221" i="7"/>
  <c r="AE221" i="7"/>
  <c r="AC225" i="7"/>
  <c r="AE225" i="7"/>
  <c r="AC229" i="7"/>
  <c r="AE229" i="7"/>
  <c r="AC233" i="7"/>
  <c r="AE233" i="7"/>
  <c r="AC237" i="7"/>
  <c r="AE237" i="7"/>
  <c r="AC241" i="7"/>
  <c r="AE241" i="7"/>
  <c r="AC245" i="7"/>
  <c r="AE245" i="7"/>
  <c r="AC249" i="7"/>
  <c r="AE249" i="7"/>
  <c r="AC253" i="7"/>
  <c r="AE253" i="7"/>
  <c r="AC257" i="7"/>
  <c r="AE257" i="7"/>
  <c r="AC261" i="7"/>
  <c r="AE261" i="7"/>
  <c r="AC265" i="7"/>
  <c r="AE265" i="7"/>
  <c r="AC269" i="7"/>
  <c r="AE269" i="7"/>
  <c r="AC273" i="7"/>
  <c r="AE273" i="7"/>
  <c r="AC277" i="7"/>
  <c r="AE277" i="7"/>
  <c r="AC281" i="7"/>
  <c r="AE281" i="7"/>
  <c r="AC285" i="7"/>
  <c r="AE285" i="7"/>
  <c r="AE289" i="7"/>
  <c r="AC293" i="7"/>
  <c r="AE293" i="7"/>
  <c r="AC297" i="7"/>
  <c r="AE297" i="7"/>
  <c r="AC301" i="7"/>
  <c r="AE301" i="7"/>
  <c r="AE305" i="7"/>
  <c r="AC309" i="7"/>
  <c r="AE309" i="7"/>
  <c r="AC313" i="7"/>
  <c r="AE313"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C89" i="7"/>
  <c r="AC93" i="7"/>
  <c r="AC97" i="7"/>
  <c r="AC101" i="7"/>
  <c r="AC105" i="7"/>
  <c r="AC109" i="7"/>
  <c r="AC113" i="7"/>
  <c r="AE117" i="7"/>
  <c r="AE121" i="7"/>
  <c r="AC125" i="7"/>
  <c r="AE129" i="7"/>
  <c r="AE133" i="7"/>
  <c r="AC137" i="7"/>
  <c r="AC141" i="7"/>
  <c r="AC145" i="7"/>
  <c r="AE149" i="7"/>
  <c r="AC153" i="7"/>
  <c r="AC157" i="7"/>
  <c r="AE161" i="7"/>
  <c r="AE165" i="7"/>
  <c r="AC169"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E569" i="7"/>
  <c r="AC573" i="7"/>
  <c r="AE573" i="7"/>
  <c r="AC577" i="7"/>
  <c r="AE577" i="7"/>
  <c r="AC581" i="7"/>
  <c r="AE581" i="7"/>
  <c r="AC585"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B24" i="2"/>
  <c r="B26" i="3" s="1"/>
  <c r="H12" i="4"/>
  <c r="C24" i="2"/>
  <c r="D24" i="2" s="1"/>
  <c r="C26" i="3" s="1"/>
  <c r="E26" i="3" s="1"/>
  <c r="AH990" i="7"/>
  <c r="AH994" i="7"/>
  <c r="AH998" i="7"/>
  <c r="K8" i="4"/>
  <c r="K7" i="4"/>
  <c r="C10" i="2"/>
  <c r="D10" i="2" s="1"/>
  <c r="C12" i="3" s="1"/>
  <c r="E12" i="3" s="1"/>
  <c r="B10" i="2"/>
  <c r="K9" i="4"/>
  <c r="C14" i="2"/>
  <c r="D14" i="2" s="1"/>
  <c r="C16" i="3" s="1"/>
  <c r="E16" i="3" s="1"/>
  <c r="B15" i="4"/>
  <c r="B14" i="2"/>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1" i="2"/>
  <c r="C23" i="3" s="1"/>
  <c r="E23"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9" i="3"/>
  <c r="D28" i="2"/>
  <c r="C30" i="3" s="1"/>
  <c r="E30" i="3" s="1"/>
  <c r="B21"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16"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D4" i="2"/>
  <c r="C6" i="3" s="1"/>
  <c r="E6" i="3" s="1"/>
  <c r="AC5" i="7"/>
  <c r="AC7" i="7"/>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3" i="11"/>
  <c r="C3" i="11"/>
  <c r="D4" i="11"/>
  <c r="C4" i="11"/>
  <c r="D7" i="11"/>
  <c r="C7" i="11"/>
  <c r="D5" i="11"/>
  <c r="C5" i="11"/>
  <c r="N15" i="4"/>
  <c r="N16" i="4"/>
  <c r="D8" i="11"/>
  <c r="C8" i="11"/>
  <c r="D6" i="11"/>
  <c r="C6" i="11"/>
  <c r="K15" i="4"/>
  <c r="K16" i="4"/>
  <c r="B25" i="4"/>
  <c r="B24" i="4"/>
  <c r="H16" i="4"/>
  <c r="H15" i="4"/>
  <c r="Q16" i="4"/>
  <c r="Q15"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<sst xmlns="http://schemas.openxmlformats.org/spreadsheetml/2006/main" count="1707" uniqueCount="1538">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</sst>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e"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Results!$B$3:$B$28</c:f>
              <c:numCache>
                <c:formatCode>0.0</c:formatCode>
                <c:ptCount val="26"/>
                <c:pt idx="0">
                  <c:v>2.2000000000000002</c:v>
                </c:pt>
                <c:pt idx="1">
                  <c:v>1.4</c:v>
                </c:pt>
                <c:pt idx="2">
                  <c:v>1.2</c:v>
                </c:pt>
                <c:pt idx="3">
                  <c:v>1.6</c:v>
                </c:pt>
                <c:pt idx="4">
                  <c:v>1.6</c:v>
                </c:pt>
                <c:pt idx="5">
                  <c:v>1.8</c:v>
                </c:pt>
                <c:pt idx="6">
                  <c:v>2.6</c:v>
                </c:pt>
                <c:pt idx="7">
                  <c:v>-0.2</c:v>
                </c:pt>
                <c:pt idx="8">
                  <c:v>1.2</c:v>
                </c:pt>
                <c:pt idx="9">
                  <c:v>2.6</c:v>
                </c:pt>
                <c:pt idx="10">
                  <c:v>2</c:v>
                </c:pt>
                <c:pt idx="11">
                  <c:v>2.4</c:v>
                </c:pt>
                <c:pt idx="12">
                  <c:v>1</c:v>
                </c:pt>
                <c:pt idx="13">
                  <c:v>2.4</c:v>
                </c:pt>
                <c:pt idx="14">
                  <c:v>1.6</c:v>
                </c:pt>
                <c:pt idx="15">
                  <c:v>2.6</c:v>
                </c:pt>
                <c:pt idx="16">
                  <c:v>2.4</c:v>
                </c:pt>
                <c:pt idx="17">
                  <c:v>2</c:v>
                </c:pt>
                <c:pt idx="18">
                  <c:v>2.6</c:v>
                </c:pt>
                <c:pt idx="19">
                  <c:v>2.2000000000000002</c:v>
                </c:pt>
                <c:pt idx="20">
                  <c:v>1.4</c:v>
                </c:pt>
                <c:pt idx="21">
                  <c:v>1.8</c:v>
                </c:pt>
                <c:pt idx="22">
                  <c:v>2</c:v>
                </c:pt>
                <c:pt idx="23">
                  <c:v>2.6</c:v>
                </c:pt>
                <c:pt idx="24">
                  <c:v>1.8</c:v>
                </c:pt>
                <c:pt idx="25">
                  <c:v>2.2000000000000002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0.27330391988518826</c:v>
                  </c:pt>
                  <c:pt idx="1">
                    <c:v>1.0802051271799442</c:v>
                  </c:pt>
                  <c:pt idx="2">
                    <c:v>0.69984712590572296</c:v>
                  </c:pt>
                  <c:pt idx="3">
                    <c:v>0.32502325696646467</c:v>
                  </c:pt>
                  <c:pt idx="4">
                    <c:v>0.34647595608741938</c:v>
                  </c:pt>
                  <c:pt idx="5">
                    <c:v>0.66825862351764054</c:v>
                  </c:pt>
                </c:numCache>
              </c:numRef>
            </c:plus>
            <c:minus>
              <c:numRef>
                <c:f>Confidence_Intervals!$M$5:$M$10</c:f>
                <c:numCache>
                  <c:formatCode>General</c:formatCode>
                  <c:ptCount val="6"/>
                  <c:pt idx="0">
                    <c:v>0.27330391988518826</c:v>
                  </c:pt>
                  <c:pt idx="1">
                    <c:v>1.0802051271799442</c:v>
                  </c:pt>
                  <c:pt idx="2">
                    <c:v>0.69984712590572296</c:v>
                  </c:pt>
                  <c:pt idx="3">
                    <c:v>0.32502325696646467</c:v>
                  </c:pt>
                  <c:pt idx="4">
                    <c:v>0.34647595608741938</c:v>
                  </c:pt>
                  <c:pt idx="5">
                    <c:v>0.66825862351764054</c:v>
                  </c:pt>
                </c:numCache>
              </c:numRef>
            </c:minus>
            <c:spPr>
              <a:ln w="19050">
                <a:solidFill>
                  <a:schemeClr val="tx1">
                    <a:lumMod val="85000"/>
                    <a:lumOff val="15000"/>
                  </a:schemeClr>
                </a:solidFill>
              </a:ln>
            </c:spPr>
          </c:errBars>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2.333333333333333</c:v>
                </c:pt>
                <c:pt idx="1">
                  <c:v>1.35</c:v>
                </c:pt>
                <c:pt idx="2">
                  <c:v>1.8</c:v>
                </c:pt>
                <c:pt idx="3">
                  <c:v>1.7</c:v>
                </c:pt>
                <c:pt idx="4">
                  <c:v>2</c:v>
                </c:pt>
                <c:pt idx="5">
                  <c:v>1.9</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2.333333333333333</c:v>
                </c:pt>
                <c:pt idx="1">
                  <c:v>1.35</c:v>
                </c:pt>
                <c:pt idx="2">
                  <c:v>1.8</c:v>
                </c:pt>
                <c:pt idx="3">
                  <c:v>1.7</c:v>
                </c:pt>
                <c:pt idx="4">
                  <c:v>2</c:v>
                </c:pt>
                <c:pt idx="5">
                  <c:v>1.9</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Attrattività</c:v>
                </c:pt>
                <c:pt idx="1">
                  <c:v>Qualità Pragmatico</c:v>
                </c:pt>
                <c:pt idx="2">
                  <c:v>Qualità eEonica</c:v>
                </c:pt>
              </c:strCache>
            </c:strRef>
          </c:cat>
          <c:val>
            <c:numRef>
              <c:f>Results!$L$40:$L$42</c:f>
              <c:numCache>
                <c:formatCode>0.00</c:formatCode>
                <c:ptCount val="3"/>
                <c:pt idx="0">
                  <c:v>2.333333333333333</c:v>
                </c:pt>
                <c:pt idx="1">
                  <c:v>1.6166666666666669</c:v>
                </c:pt>
                <c:pt idx="2">
                  <c:v>1.95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Answer_Distributions!$D$3:$D$28</c:f>
              <c:numCache>
                <c:formatCode>General</c:formatCode>
                <c:ptCount val="26"/>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Answer_Distributions!$E$3:$E$28</c:f>
              <c:numCache>
                <c:formatCode>General</c:formatCode>
                <c:ptCount val="26"/>
                <c:pt idx="0">
                  <c:v>0</c:v>
                </c:pt>
                <c:pt idx="1">
                  <c:v>0</c:v>
                </c:pt>
                <c:pt idx="2">
                  <c:v>0</c:v>
                </c:pt>
                <c:pt idx="3">
                  <c:v>0</c:v>
                </c:pt>
                <c:pt idx="4">
                  <c:v>0</c:v>
                </c:pt>
                <c:pt idx="5">
                  <c:v>0</c:v>
                </c:pt>
                <c:pt idx="6">
                  <c:v>0</c:v>
                </c:pt>
                <c:pt idx="7">
                  <c:v>2</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Answer_Distributions!$F$3:$F$28</c:f>
              <c:numCache>
                <c:formatCode>General</c:formatCode>
                <c:ptCount val="26"/>
                <c:pt idx="0">
                  <c:v>1</c:v>
                </c:pt>
                <c:pt idx="1">
                  <c:v>1</c:v>
                </c:pt>
                <c:pt idx="2">
                  <c:v>0</c:v>
                </c:pt>
                <c:pt idx="3">
                  <c:v>2</c:v>
                </c:pt>
                <c:pt idx="4">
                  <c:v>0</c:v>
                </c:pt>
                <c:pt idx="5">
                  <c:v>0</c:v>
                </c:pt>
                <c:pt idx="6">
                  <c:v>0</c:v>
                </c:pt>
                <c:pt idx="7">
                  <c:v>2</c:v>
                </c:pt>
                <c:pt idx="8">
                  <c:v>1</c:v>
                </c:pt>
                <c:pt idx="9">
                  <c:v>0</c:v>
                </c:pt>
                <c:pt idx="10">
                  <c:v>0</c:v>
                </c:pt>
                <c:pt idx="11">
                  <c:v>0</c:v>
                </c:pt>
                <c:pt idx="12">
                  <c:v>2</c:v>
                </c:pt>
                <c:pt idx="13">
                  <c:v>0</c:v>
                </c:pt>
                <c:pt idx="14">
                  <c:v>0</c:v>
                </c:pt>
                <c:pt idx="15">
                  <c:v>0</c:v>
                </c:pt>
                <c:pt idx="16">
                  <c:v>0</c:v>
                </c:pt>
                <c:pt idx="17">
                  <c:v>0</c:v>
                </c:pt>
                <c:pt idx="18">
                  <c:v>0</c:v>
                </c:pt>
                <c:pt idx="19">
                  <c:v>0</c:v>
                </c:pt>
                <c:pt idx="20">
                  <c:v>2</c:v>
                </c:pt>
                <c:pt idx="21">
                  <c:v>1</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Answer_Distributions!$G$3:$G$28</c:f>
              <c:numCache>
                <c:formatCode>General</c:formatCode>
                <c:ptCount val="26"/>
                <c:pt idx="0">
                  <c:v>0</c:v>
                </c:pt>
                <c:pt idx="1">
                  <c:v>2</c:v>
                </c:pt>
                <c:pt idx="2">
                  <c:v>2</c:v>
                </c:pt>
                <c:pt idx="3">
                  <c:v>0</c:v>
                </c:pt>
                <c:pt idx="4">
                  <c:v>2</c:v>
                </c:pt>
                <c:pt idx="5">
                  <c:v>2</c:v>
                </c:pt>
                <c:pt idx="6">
                  <c:v>1</c:v>
                </c:pt>
                <c:pt idx="7">
                  <c:v>1</c:v>
                </c:pt>
                <c:pt idx="8">
                  <c:v>0</c:v>
                </c:pt>
                <c:pt idx="9">
                  <c:v>0</c:v>
                </c:pt>
                <c:pt idx="10">
                  <c:v>1</c:v>
                </c:pt>
                <c:pt idx="11">
                  <c:v>0</c:v>
                </c:pt>
                <c:pt idx="12">
                  <c:v>2</c:v>
                </c:pt>
                <c:pt idx="13">
                  <c:v>0</c:v>
                </c:pt>
                <c:pt idx="14">
                  <c:v>0</c:v>
                </c:pt>
                <c:pt idx="15">
                  <c:v>0</c:v>
                </c:pt>
                <c:pt idx="16">
                  <c:v>0</c:v>
                </c:pt>
                <c:pt idx="17">
                  <c:v>2</c:v>
                </c:pt>
                <c:pt idx="18">
                  <c:v>1</c:v>
                </c:pt>
                <c:pt idx="19">
                  <c:v>1</c:v>
                </c:pt>
                <c:pt idx="20">
                  <c:v>0</c:v>
                </c:pt>
                <c:pt idx="21">
                  <c:v>0</c:v>
                </c:pt>
                <c:pt idx="22">
                  <c:v>1</c:v>
                </c:pt>
                <c:pt idx="23">
                  <c:v>0</c:v>
                </c:pt>
                <c:pt idx="24">
                  <c:v>3</c:v>
                </c:pt>
                <c:pt idx="25">
                  <c:v>1</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Answer_Distributions!$H$3:$H$28</c:f>
              <c:numCache>
                <c:formatCode>General</c:formatCode>
                <c:ptCount val="26"/>
                <c:pt idx="0">
                  <c:v>1</c:v>
                </c:pt>
                <c:pt idx="1">
                  <c:v>1</c:v>
                </c:pt>
                <c:pt idx="2">
                  <c:v>0</c:v>
                </c:pt>
                <c:pt idx="3">
                  <c:v>1</c:v>
                </c:pt>
                <c:pt idx="4">
                  <c:v>3</c:v>
                </c:pt>
                <c:pt idx="5">
                  <c:v>2</c:v>
                </c:pt>
                <c:pt idx="6">
                  <c:v>0</c:v>
                </c:pt>
                <c:pt idx="7">
                  <c:v>0</c:v>
                </c:pt>
                <c:pt idx="8">
                  <c:v>2</c:v>
                </c:pt>
                <c:pt idx="9">
                  <c:v>2</c:v>
                </c:pt>
                <c:pt idx="10">
                  <c:v>3</c:v>
                </c:pt>
                <c:pt idx="11">
                  <c:v>3</c:v>
                </c:pt>
                <c:pt idx="12">
                  <c:v>0</c:v>
                </c:pt>
                <c:pt idx="13">
                  <c:v>3</c:v>
                </c:pt>
                <c:pt idx="14">
                  <c:v>2</c:v>
                </c:pt>
                <c:pt idx="15">
                  <c:v>2</c:v>
                </c:pt>
                <c:pt idx="16">
                  <c:v>3</c:v>
                </c:pt>
                <c:pt idx="17">
                  <c:v>1</c:v>
                </c:pt>
                <c:pt idx="18">
                  <c:v>0</c:v>
                </c:pt>
                <c:pt idx="19">
                  <c:v>2</c:v>
                </c:pt>
                <c:pt idx="20">
                  <c:v>2</c:v>
                </c:pt>
                <c:pt idx="21">
                  <c:v>3</c:v>
                </c:pt>
                <c:pt idx="22">
                  <c:v>3</c:v>
                </c:pt>
                <c:pt idx="23">
                  <c:v>2</c:v>
                </c:pt>
                <c:pt idx="24">
                  <c:v>0</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Answer_Distributions!$I$3:$I$28</c:f>
              <c:numCache>
                <c:formatCode>General</c:formatCode>
                <c:ptCount val="26"/>
                <c:pt idx="0">
                  <c:v>3</c:v>
                </c:pt>
                <c:pt idx="1">
                  <c:v>1</c:v>
                </c:pt>
                <c:pt idx="2">
                  <c:v>2</c:v>
                </c:pt>
                <c:pt idx="3">
                  <c:v>2</c:v>
                </c:pt>
                <c:pt idx="4">
                  <c:v>0</c:v>
                </c:pt>
                <c:pt idx="5">
                  <c:v>1</c:v>
                </c:pt>
                <c:pt idx="6">
                  <c:v>4</c:v>
                </c:pt>
                <c:pt idx="7">
                  <c:v>0</c:v>
                </c:pt>
                <c:pt idx="8">
                  <c:v>1</c:v>
                </c:pt>
                <c:pt idx="9">
                  <c:v>3</c:v>
                </c:pt>
                <c:pt idx="10">
                  <c:v>1</c:v>
                </c:pt>
                <c:pt idx="11">
                  <c:v>2</c:v>
                </c:pt>
                <c:pt idx="12">
                  <c:v>1</c:v>
                </c:pt>
                <c:pt idx="13">
                  <c:v>2</c:v>
                </c:pt>
                <c:pt idx="14">
                  <c:v>2</c:v>
                </c:pt>
                <c:pt idx="15">
                  <c:v>3</c:v>
                </c:pt>
                <c:pt idx="16">
                  <c:v>2</c:v>
                </c:pt>
                <c:pt idx="17">
                  <c:v>2</c:v>
                </c:pt>
                <c:pt idx="18">
                  <c:v>4</c:v>
                </c:pt>
                <c:pt idx="19">
                  <c:v>2</c:v>
                </c:pt>
                <c:pt idx="20">
                  <c:v>1</c:v>
                </c:pt>
                <c:pt idx="21">
                  <c:v>1</c:v>
                </c:pt>
                <c:pt idx="22">
                  <c:v>1</c:v>
                </c:pt>
                <c:pt idx="23">
                  <c:v>3</c:v>
                </c:pt>
                <c:pt idx="24">
                  <c:v>2</c:v>
                </c:pt>
                <c:pt idx="25">
                  <c:v>2</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Benchmark!$H$28:$H$33</c:f>
              <c:numCache>
                <c:formatCode>0.00</c:formatCode>
                <c:ptCount val="6"/>
                <c:pt idx="0">
                  <c:v>2.333333333333333</c:v>
                </c:pt>
                <c:pt idx="1">
                  <c:v>1.35</c:v>
                </c:pt>
                <c:pt idx="2">
                  <c:v>1.8</c:v>
                </c:pt>
                <c:pt idx="3">
                  <c:v>1.7</c:v>
                </c:pt>
                <c:pt idx="4">
                  <c:v>2</c:v>
                </c:pt>
                <c:pt idx="5">
                  <c:v>1.9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Attrattività</c:v>
                </c:pt>
                <c:pt idx="1">
                  <c:v>Apprendibilità</c:v>
                </c:pt>
                <c:pt idx="2">
                  <c:v>Efficienca</c:v>
                </c:pt>
                <c:pt idx="3">
                  <c:v>Controllabilità</c:v>
                </c:pt>
                <c:pt idx="4">
                  <c:v>Stimolazione</c:v>
                </c:pt>
                <c:pt idx="5">
                  <c:v>Originalità</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8" sqref="B8"/>
    </sheetView>
  </sheetViews>
  <sheetFormatPr defaultColWidth="9.140625" defaultRowHeight="15"/>
  <cols>
    <col min="1" max="1" width="35.140625" customWidth="1"/>
    <col min="2" max="2" width="22" customWidth="1"/>
    <col min="3" max="3" width="43" customWidth="1"/>
  </cols>
  <sheetData>
    <row r="1" spans="1:3" s="46" customFormat="1" ht="57" customHeight="1">
      <c r="A1" s="154"/>
      <c r="B1" s="154"/>
      <c r="C1" s="154"/>
    </row>
    <row r="2" spans="1:3" ht="58.9" customHeight="1">
      <c r="A2" s="150" t="s">
        <v>1299</v>
      </c>
      <c r="B2" s="150"/>
      <c r="C2" s="150"/>
    </row>
    <row r="3" spans="1:3" ht="107.25" customHeight="1">
      <c r="A3" s="151" t="s">
        <v>1286</v>
      </c>
      <c r="B3" s="151"/>
      <c r="C3" s="151"/>
    </row>
    <row r="5" spans="1:3" ht="18.75">
      <c r="A5" s="34" t="s">
        <v>820</v>
      </c>
      <c r="B5" s="65" t="s">
        <v>247</v>
      </c>
    </row>
    <row r="7" spans="1:3" ht="30.75" customHeight="1">
      <c r="A7" s="152" t="s">
        <v>1298</v>
      </c>
      <c r="B7" s="152"/>
      <c r="C7" s="152"/>
    </row>
    <row r="9" spans="1:3" ht="406.15" customHeight="1">
      <c r="A9" s="153" t="s">
        <v>1297</v>
      </c>
      <c r="B9" s="153"/>
      <c r="C9" s="153"/>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Items!$A$2:$A$24</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B13" sqref="AB13"/>
    </sheetView>
  </sheetViews>
  <sheetFormatPr defaultColWidth="9.140625" defaultRowHeight="15"/>
  <cols>
    <col min="1" max="26" width="3.7109375" style="1" customWidth="1"/>
  </cols>
  <sheetData>
    <row r="1" spans="1:27" ht="144" customHeight="1">
      <c r="A1" s="155" t="s">
        <v>1287</v>
      </c>
      <c r="B1" s="156"/>
      <c r="C1" s="156"/>
      <c r="D1" s="156"/>
      <c r="E1" s="156"/>
      <c r="F1" s="156"/>
      <c r="G1" s="156"/>
      <c r="H1" s="156"/>
      <c r="I1" s="156"/>
      <c r="J1" s="156"/>
      <c r="K1" s="156"/>
      <c r="L1" s="156"/>
      <c r="M1" s="156"/>
      <c r="N1" s="156"/>
      <c r="O1" s="156"/>
      <c r="P1" s="156"/>
      <c r="Q1" s="156"/>
      <c r="R1" s="156"/>
      <c r="S1" s="156"/>
      <c r="T1" s="156"/>
      <c r="U1" s="156"/>
      <c r="V1" s="156"/>
      <c r="W1" s="156"/>
      <c r="X1" s="156"/>
      <c r="Y1" s="156"/>
      <c r="Z1" s="156"/>
    </row>
    <row r="2" spans="1:27">
      <c r="A2" s="157" t="s">
        <v>0</v>
      </c>
      <c r="B2" s="157"/>
      <c r="C2" s="157"/>
      <c r="D2" s="157"/>
      <c r="E2" s="157"/>
      <c r="F2" s="157"/>
      <c r="G2" s="157"/>
      <c r="H2" s="157"/>
      <c r="I2" s="157"/>
      <c r="J2" s="157"/>
      <c r="K2" s="157"/>
      <c r="L2" s="157"/>
      <c r="M2" s="157"/>
      <c r="N2" s="157"/>
      <c r="O2" s="157"/>
      <c r="P2" s="157"/>
      <c r="Q2" s="157"/>
      <c r="R2" s="157"/>
      <c r="S2" s="157"/>
      <c r="T2" s="157"/>
      <c r="U2" s="157"/>
      <c r="V2" s="157"/>
      <c r="W2" s="157"/>
      <c r="X2" s="157"/>
      <c r="Y2" s="157"/>
      <c r="Z2" s="157"/>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6">
        <v>7</v>
      </c>
      <c r="B4" s="66">
        <v>6</v>
      </c>
      <c r="C4" s="66">
        <v>6</v>
      </c>
      <c r="D4" s="66">
        <v>2</v>
      </c>
      <c r="E4" s="66">
        <v>2</v>
      </c>
      <c r="F4" s="66">
        <v>5</v>
      </c>
      <c r="G4" s="66">
        <v>7</v>
      </c>
      <c r="H4" s="66">
        <v>4</v>
      </c>
      <c r="I4" s="66">
        <v>2</v>
      </c>
      <c r="J4" s="66">
        <v>1</v>
      </c>
      <c r="K4" s="66">
        <v>6</v>
      </c>
      <c r="L4" s="66">
        <v>1</v>
      </c>
      <c r="M4" s="66">
        <v>5</v>
      </c>
      <c r="N4" s="66">
        <v>6</v>
      </c>
      <c r="O4" s="66">
        <v>6</v>
      </c>
      <c r="P4" s="66">
        <v>7</v>
      </c>
      <c r="Q4" s="66">
        <v>2</v>
      </c>
      <c r="R4" s="66">
        <v>1</v>
      </c>
      <c r="S4" s="66">
        <v>1</v>
      </c>
      <c r="T4" s="66">
        <v>6</v>
      </c>
      <c r="U4" s="66">
        <v>2</v>
      </c>
      <c r="V4" s="66">
        <v>6</v>
      </c>
      <c r="W4" s="66">
        <v>2</v>
      </c>
      <c r="X4" s="66">
        <v>1</v>
      </c>
      <c r="Y4" s="66">
        <v>1</v>
      </c>
      <c r="Z4" s="66">
        <v>7</v>
      </c>
    </row>
    <row r="5" spans="1:27">
      <c r="A5" s="61">
        <v>7</v>
      </c>
      <c r="B5" s="61">
        <v>5</v>
      </c>
      <c r="C5" s="61">
        <v>3</v>
      </c>
      <c r="D5" s="61">
        <v>1</v>
      </c>
      <c r="E5" s="61">
        <v>3</v>
      </c>
      <c r="F5" s="61">
        <v>7</v>
      </c>
      <c r="G5" s="61">
        <v>7</v>
      </c>
      <c r="H5" s="61">
        <v>4</v>
      </c>
      <c r="I5" s="61">
        <v>2</v>
      </c>
      <c r="J5" s="61">
        <v>2</v>
      </c>
      <c r="K5" s="61">
        <v>7</v>
      </c>
      <c r="L5" s="61">
        <v>2</v>
      </c>
      <c r="M5" s="61">
        <v>5</v>
      </c>
      <c r="N5" s="61">
        <v>7</v>
      </c>
      <c r="O5" s="61">
        <v>7</v>
      </c>
      <c r="P5" s="61">
        <v>6</v>
      </c>
      <c r="Q5" s="61">
        <v>1</v>
      </c>
      <c r="R5" s="61">
        <v>3</v>
      </c>
      <c r="S5" s="61">
        <v>1</v>
      </c>
      <c r="T5" s="61">
        <v>7</v>
      </c>
      <c r="U5" s="61">
        <v>2</v>
      </c>
      <c r="V5" s="61">
        <v>6</v>
      </c>
      <c r="W5" s="61">
        <v>2</v>
      </c>
      <c r="X5" s="61">
        <v>1</v>
      </c>
      <c r="Y5" s="61">
        <v>3</v>
      </c>
      <c r="Z5" s="61">
        <v>7</v>
      </c>
    </row>
    <row r="6" spans="1:27">
      <c r="A6" s="61">
        <v>6</v>
      </c>
      <c r="B6" s="61">
        <v>4</v>
      </c>
      <c r="C6" s="61">
        <v>1</v>
      </c>
      <c r="D6" s="61">
        <v>4</v>
      </c>
      <c r="E6" s="61">
        <v>3</v>
      </c>
      <c r="F6" s="61">
        <v>5</v>
      </c>
      <c r="G6" s="61">
        <v>7</v>
      </c>
      <c r="H6" s="61">
        <v>3</v>
      </c>
      <c r="I6" s="61">
        <v>4</v>
      </c>
      <c r="J6" s="61">
        <v>1</v>
      </c>
      <c r="K6" s="61">
        <v>5</v>
      </c>
      <c r="L6" s="61">
        <v>2</v>
      </c>
      <c r="M6" s="61">
        <v>4</v>
      </c>
      <c r="N6" s="61">
        <v>7</v>
      </c>
      <c r="O6" s="61">
        <v>7</v>
      </c>
      <c r="P6" s="61">
        <v>7</v>
      </c>
      <c r="Q6" s="61">
        <v>2</v>
      </c>
      <c r="R6" s="61">
        <v>3</v>
      </c>
      <c r="S6" s="61">
        <v>1</v>
      </c>
      <c r="T6" s="61">
        <v>5</v>
      </c>
      <c r="U6" s="61">
        <v>4</v>
      </c>
      <c r="V6" s="61">
        <v>4</v>
      </c>
      <c r="W6" s="61">
        <v>2</v>
      </c>
      <c r="X6" s="61">
        <v>1</v>
      </c>
      <c r="Y6" s="61">
        <v>3</v>
      </c>
      <c r="Z6" s="61">
        <v>5</v>
      </c>
    </row>
    <row r="7" spans="1:27">
      <c r="A7" s="61">
        <v>7</v>
      </c>
      <c r="B7" s="61">
        <v>7</v>
      </c>
      <c r="C7" s="61">
        <v>1</v>
      </c>
      <c r="D7" s="61">
        <v>1</v>
      </c>
      <c r="E7" s="61">
        <v>2</v>
      </c>
      <c r="F7" s="61">
        <v>6</v>
      </c>
      <c r="G7" s="61">
        <v>5</v>
      </c>
      <c r="H7" s="61">
        <v>3</v>
      </c>
      <c r="I7" s="61">
        <v>1</v>
      </c>
      <c r="J7" s="61">
        <v>1</v>
      </c>
      <c r="K7" s="61">
        <v>6</v>
      </c>
      <c r="L7" s="61">
        <v>2</v>
      </c>
      <c r="M7" s="61">
        <v>7</v>
      </c>
      <c r="N7" s="61">
        <v>6</v>
      </c>
      <c r="O7" s="61">
        <v>6</v>
      </c>
      <c r="P7" s="61">
        <v>6</v>
      </c>
      <c r="Q7" s="61">
        <v>1</v>
      </c>
      <c r="R7" s="61">
        <v>2</v>
      </c>
      <c r="S7" s="61">
        <v>1</v>
      </c>
      <c r="T7" s="61">
        <v>6</v>
      </c>
      <c r="U7" s="61">
        <v>1</v>
      </c>
      <c r="V7" s="61">
        <v>7</v>
      </c>
      <c r="W7" s="61">
        <v>1</v>
      </c>
      <c r="X7" s="61">
        <v>2</v>
      </c>
      <c r="Y7" s="61">
        <v>3</v>
      </c>
      <c r="Z7" s="61">
        <v>6</v>
      </c>
    </row>
    <row r="8" spans="1:27">
      <c r="A8" s="61">
        <v>4</v>
      </c>
      <c r="B8" s="61">
        <v>5</v>
      </c>
      <c r="C8" s="61">
        <v>3</v>
      </c>
      <c r="D8" s="61">
        <v>4</v>
      </c>
      <c r="E8" s="61">
        <v>2</v>
      </c>
      <c r="F8" s="61">
        <v>6</v>
      </c>
      <c r="G8" s="61">
        <v>7</v>
      </c>
      <c r="H8" s="61">
        <v>5</v>
      </c>
      <c r="I8" s="61">
        <v>5</v>
      </c>
      <c r="J8" s="61">
        <v>2</v>
      </c>
      <c r="K8" s="61">
        <v>6</v>
      </c>
      <c r="L8" s="61">
        <v>1</v>
      </c>
      <c r="M8" s="61">
        <v>4</v>
      </c>
      <c r="N8" s="61">
        <v>6</v>
      </c>
      <c r="O8" s="61">
        <v>2</v>
      </c>
      <c r="P8" s="61">
        <v>7</v>
      </c>
      <c r="Q8" s="61">
        <v>2</v>
      </c>
      <c r="R8" s="61">
        <v>1</v>
      </c>
      <c r="S8" s="61">
        <v>3</v>
      </c>
      <c r="T8" s="61">
        <v>7</v>
      </c>
      <c r="U8" s="61">
        <v>4</v>
      </c>
      <c r="V8" s="61">
        <v>6</v>
      </c>
      <c r="W8" s="61">
        <v>3</v>
      </c>
      <c r="X8" s="61">
        <v>2</v>
      </c>
      <c r="Y8" s="61">
        <v>1</v>
      </c>
      <c r="Z8" s="61">
        <v>6</v>
      </c>
    </row>
    <row r="9" spans="1:27">
      <c r="A9" s="61"/>
      <c r="B9" s="61"/>
      <c r="C9" s="61"/>
      <c r="D9" s="61"/>
      <c r="E9" s="61"/>
      <c r="F9" s="61"/>
      <c r="G9" s="61"/>
      <c r="H9" s="61"/>
      <c r="I9" s="61"/>
      <c r="J9" s="61"/>
      <c r="K9" s="61"/>
      <c r="L9" s="61"/>
      <c r="M9" s="61"/>
      <c r="N9" s="61"/>
      <c r="O9" s="61"/>
      <c r="P9" s="61"/>
      <c r="Q9" s="61"/>
      <c r="R9" s="61"/>
      <c r="S9" s="61"/>
      <c r="T9" s="61"/>
      <c r="U9" s="61"/>
      <c r="V9" s="61"/>
      <c r="W9" s="61"/>
      <c r="X9" s="61"/>
      <c r="Y9" s="61"/>
      <c r="Z9" s="61"/>
    </row>
    <row r="10" spans="1:27">
      <c r="A10" s="61"/>
      <c r="B10" s="61"/>
      <c r="C10" s="61"/>
      <c r="D10" s="61"/>
      <c r="E10" s="61"/>
      <c r="F10" s="61"/>
      <c r="G10" s="61"/>
      <c r="H10" s="61"/>
      <c r="I10" s="61"/>
      <c r="J10" s="61"/>
      <c r="K10" s="61"/>
      <c r="L10" s="61"/>
      <c r="M10" s="61"/>
      <c r="N10" s="61"/>
      <c r="O10" s="61"/>
      <c r="P10" s="61"/>
      <c r="Q10" s="61"/>
      <c r="R10" s="61"/>
      <c r="S10" s="61"/>
      <c r="T10" s="61"/>
      <c r="U10" s="61"/>
      <c r="V10" s="61"/>
      <c r="W10" s="61"/>
      <c r="X10" s="61"/>
      <c r="Y10" s="61"/>
      <c r="Z10" s="61"/>
    </row>
    <row r="11" spans="1:27">
      <c r="A11" s="61"/>
      <c r="B11" s="61"/>
      <c r="C11" s="61"/>
      <c r="D11" s="61"/>
      <c r="E11" s="61"/>
      <c r="F11" s="61"/>
      <c r="G11" s="61"/>
      <c r="H11" s="61"/>
      <c r="I11" s="61"/>
      <c r="J11" s="61"/>
      <c r="K11" s="61"/>
      <c r="L11" s="61"/>
      <c r="M11" s="61"/>
      <c r="N11" s="61"/>
      <c r="O11" s="61"/>
      <c r="P11" s="61"/>
      <c r="Q11" s="61"/>
      <c r="R11" s="61"/>
      <c r="S11" s="61"/>
      <c r="T11" s="61"/>
      <c r="U11" s="61"/>
      <c r="V11" s="61"/>
      <c r="W11" s="61"/>
      <c r="X11" s="61"/>
      <c r="Y11" s="61"/>
      <c r="Z11" s="61"/>
    </row>
    <row r="12" spans="1:27">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58" t="s">
        <v>821</v>
      </c>
      <c r="B1" s="159"/>
      <c r="C1" s="159"/>
      <c r="D1" s="159"/>
      <c r="E1" s="159"/>
      <c r="F1" s="159"/>
      <c r="G1" s="159"/>
      <c r="H1" s="159"/>
      <c r="I1" s="159"/>
      <c r="J1" s="159"/>
      <c r="K1" s="159"/>
      <c r="L1" s="159"/>
      <c r="M1" s="159"/>
      <c r="N1" s="159"/>
      <c r="O1" s="159"/>
      <c r="P1" s="159"/>
      <c r="Q1" s="159"/>
      <c r="R1" s="159"/>
      <c r="S1" s="159"/>
      <c r="T1" s="159"/>
      <c r="U1" s="159"/>
      <c r="V1" s="159"/>
      <c r="W1" s="159"/>
      <c r="X1" s="159"/>
      <c r="Y1" s="159"/>
      <c r="Z1" s="160"/>
      <c r="AA1" s="15"/>
      <c r="AB1" s="15"/>
      <c r="AC1" s="163"/>
      <c r="AD1" s="163"/>
      <c r="AE1" s="163"/>
      <c r="AF1" s="163"/>
      <c r="AG1" s="163"/>
      <c r="AH1" s="163"/>
    </row>
    <row r="2" spans="1:34">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62" t="s">
        <v>1295</v>
      </c>
      <c r="AD2" s="162"/>
      <c r="AE2" s="162"/>
      <c r="AF2" s="162"/>
      <c r="AG2" s="162"/>
      <c r="AH2" s="162"/>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Attrattività</v>
      </c>
      <c r="AD3" s="113" t="str">
        <f>VLOOKUP(Read_First!B5,Items!A1:BI50,55,FALSE)</f>
        <v>Apprendibilità</v>
      </c>
      <c r="AE3" s="114" t="str">
        <f>VLOOKUP(Read_First!B5,Items!A1:BI50,56,FALSE)</f>
        <v>Efficienca</v>
      </c>
      <c r="AF3" s="113" t="str">
        <f>VLOOKUP(Read_First!B5,Items!A1:BI50,57,FALSE)</f>
        <v>Controllabilità</v>
      </c>
      <c r="AG3" s="114" t="str">
        <f>VLOOKUP(Read_First!B5,Items!A1:BI50,58,FALSE)</f>
        <v>Stimolazione</v>
      </c>
      <c r="AH3" s="115" t="str">
        <f>VLOOKUP(Read_First!B5,Items!A1:BI50,59,FALSE)</f>
        <v>Originalità</v>
      </c>
    </row>
    <row r="4" spans="1:34">
      <c r="A4" s="68">
        <f>IF(Data!A4&gt;0,Data!A4-4,"")</f>
        <v>3</v>
      </c>
      <c r="B4" s="68">
        <f>IF(Data!B4&gt;0,Data!B4-4,"")</f>
        <v>2</v>
      </c>
      <c r="C4" s="68">
        <f>IF(Data!C4&gt;0,4-Data!C4,"")</f>
        <v>-2</v>
      </c>
      <c r="D4" s="68">
        <f>IF(Data!D4&gt;0,4-Data!D4,"")</f>
        <v>2</v>
      </c>
      <c r="E4" s="68">
        <f>IF(Data!E4&gt;0,4-Data!E4,"")</f>
        <v>2</v>
      </c>
      <c r="F4" s="68">
        <f>IF(Data!F4&gt;0,Data!F4-4,"")</f>
        <v>1</v>
      </c>
      <c r="G4" s="68">
        <f>IF(Data!G4&gt;0,Data!G4-4,"")</f>
        <v>3</v>
      </c>
      <c r="H4" s="68">
        <f>IF(Data!H4&gt;0,Data!H4-4,"")</f>
        <v>0</v>
      </c>
      <c r="I4" s="68">
        <f>IF(Data!I4&gt;0,4-Data!I4,"")</f>
        <v>2</v>
      </c>
      <c r="J4" s="68">
        <f>IF(Data!J4&gt;0,4-Data!J4,"")</f>
        <v>3</v>
      </c>
      <c r="K4" s="68">
        <f>IF(Data!K4&gt;0,Data!K4-4,"")</f>
        <v>2</v>
      </c>
      <c r="L4" s="68">
        <f>IF(Data!L4&gt;0,4-Data!L4,"")</f>
        <v>3</v>
      </c>
      <c r="M4" s="68">
        <f>IF(Data!M4&gt;0,Data!M4-4,"")</f>
        <v>1</v>
      </c>
      <c r="N4" s="68">
        <f>IF(Data!N4&gt;0,Data!N4-4,"")</f>
        <v>2</v>
      </c>
      <c r="O4" s="68">
        <f>IF(Data!O4&gt;0,Data!O4-4,"")</f>
        <v>2</v>
      </c>
      <c r="P4" s="68">
        <f>IF(Data!P4&gt;0,Data!P4-4,"")</f>
        <v>3</v>
      </c>
      <c r="Q4" s="68">
        <f>IF(Data!Q4&gt;0,4-Data!Q4,"")</f>
        <v>2</v>
      </c>
      <c r="R4" s="68">
        <f>IF(Data!R4&gt;0,4-Data!R4,"")</f>
        <v>3</v>
      </c>
      <c r="S4" s="68">
        <f>IF(Data!S4&gt;0,4-Data!S4,"")</f>
        <v>3</v>
      </c>
      <c r="T4" s="68">
        <f>IF(Data!T4&gt;0,Data!T4-4,"")</f>
        <v>2</v>
      </c>
      <c r="U4" s="68">
        <f>IF(Data!U4&gt;0,4-Data!U4,"")</f>
        <v>2</v>
      </c>
      <c r="V4" s="68">
        <f>IF(Data!V4&gt;0,Data!V4-4,"")</f>
        <v>2</v>
      </c>
      <c r="W4" s="68">
        <f>IF(Data!W4&gt;0,4-Data!W4,"")</f>
        <v>2</v>
      </c>
      <c r="X4" s="68">
        <f>IF(Data!X4&gt;0,4-Data!X4,"")</f>
        <v>3</v>
      </c>
      <c r="Y4" s="68">
        <f>IF(Data!Y4&gt;0,4-Data!Y4,"")</f>
        <v>3</v>
      </c>
      <c r="Z4" s="68">
        <f>IF(Data!Z4&gt;0,Data!Z4-4,"")</f>
        <v>3</v>
      </c>
      <c r="AC4" s="69">
        <f t="shared" ref="AC4:AC68" si="0">IF(COUNT(A4,L4,N4,P4,X4,Y4)&gt;0,AVERAGE(A4,L4,N4,P4,X4,Y4),"")</f>
        <v>2.8333333333333335</v>
      </c>
      <c r="AD4" s="69">
        <f>IF(COUNT(B4,D4,M4,U4)&gt;0,AVERAGE(B4,D4,M4,U4),"")</f>
        <v>1.75</v>
      </c>
      <c r="AE4" s="69">
        <f>IF(COUNT(I4,T4,V4,W4)&gt;0,AVERAGE(I4,T4,V4,W4),"")</f>
        <v>2</v>
      </c>
      <c r="AF4" s="69">
        <f>IF(COUNT(H4,K4,Q4,S4)&gt;0,AVERAGE(H4,K4,Q4,S4),"")</f>
        <v>1.75</v>
      </c>
      <c r="AG4" s="69">
        <f>IF(COUNT(E4,F4,G4,R4)&gt;0,AVERAGE(E4,F4,G4,R4),"")</f>
        <v>2.25</v>
      </c>
      <c r="AH4" s="69">
        <f>IF(COUNT(C4,J4,O4,Z4)&gt;0,AVERAGE(C4,J4,O4,Z4),"")</f>
        <v>1.5</v>
      </c>
    </row>
    <row r="5" spans="1:34">
      <c r="A5" s="1">
        <f>IF(Data!A5&gt;0,Data!A5-4,"")</f>
        <v>3</v>
      </c>
      <c r="B5" s="1">
        <f>IF(Data!B5&gt;0,Data!B5-4,"")</f>
        <v>1</v>
      </c>
      <c r="C5" s="1">
        <f>IF(Data!C5&gt;0,4-Data!C5,"")</f>
        <v>1</v>
      </c>
      <c r="D5" s="1">
        <f>IF(Data!D5&gt;0,4-Data!D5,"")</f>
        <v>3</v>
      </c>
      <c r="E5" s="1">
        <f>IF(Data!E5&gt;0,4-Data!E5,"")</f>
        <v>1</v>
      </c>
      <c r="F5" s="1">
        <f>IF(Data!F5&gt;0,Data!F5-4,"")</f>
        <v>3</v>
      </c>
      <c r="G5" s="1">
        <f>IF(Data!G5&gt;0,Data!G5-4,"")</f>
        <v>3</v>
      </c>
      <c r="H5" s="1">
        <f>IF(Data!H5&gt;0,Data!H5-4,"")</f>
        <v>0</v>
      </c>
      <c r="I5" s="1">
        <f>IF(Data!I5&gt;0,4-Data!I5,"")</f>
        <v>2</v>
      </c>
      <c r="J5" s="1">
        <f>IF(Data!J5&gt;0,4-Data!J5,"")</f>
        <v>2</v>
      </c>
      <c r="K5" s="1">
        <f>IF(Data!K5&gt;0,Data!K5-4,"")</f>
        <v>3</v>
      </c>
      <c r="L5" s="1">
        <f>IF(Data!L5&gt;0,4-Data!L5,"")</f>
        <v>2</v>
      </c>
      <c r="M5" s="1">
        <f>IF(Data!M5&gt;0,Data!M5-4,"")</f>
        <v>1</v>
      </c>
      <c r="N5" s="1">
        <f>IF(Data!N5&gt;0,Data!N5-4,"")</f>
        <v>3</v>
      </c>
      <c r="O5" s="1">
        <f>IF(Data!O5&gt;0,Data!O5-4,"")</f>
        <v>3</v>
      </c>
      <c r="P5" s="1">
        <f>IF(Data!P5&gt;0,Data!P5-4,"")</f>
        <v>2</v>
      </c>
      <c r="Q5" s="1">
        <f>IF(Data!Q5&gt;0,4-Data!Q5,"")</f>
        <v>3</v>
      </c>
      <c r="R5" s="1">
        <f>IF(Data!R5&gt;0,4-Data!R5,"")</f>
        <v>1</v>
      </c>
      <c r="S5" s="1">
        <f>IF(Data!S5&gt;0,4-Data!S5,"")</f>
        <v>3</v>
      </c>
      <c r="T5" s="1">
        <f>IF(Data!T5&gt;0,Data!T5-4,"")</f>
        <v>3</v>
      </c>
      <c r="U5" s="1">
        <f>IF(Data!U5&gt;0,4-Data!U5,"")</f>
        <v>2</v>
      </c>
      <c r="V5" s="1">
        <f>IF(Data!V5&gt;0,Data!V5-4,"")</f>
        <v>2</v>
      </c>
      <c r="W5" s="1">
        <f>IF(Data!W5&gt;0,4-Data!W5,"")</f>
        <v>2</v>
      </c>
      <c r="X5" s="1">
        <f>IF(Data!X5&gt;0,4-Data!X5,"")</f>
        <v>3</v>
      </c>
      <c r="Y5" s="1">
        <f>IF(Data!Y5&gt;0,4-Data!Y5,"")</f>
        <v>1</v>
      </c>
      <c r="Z5" s="1">
        <f>IF(Data!Z5&gt;0,Data!Z5-4,"")</f>
        <v>3</v>
      </c>
      <c r="AC5" s="7">
        <f t="shared" si="0"/>
        <v>2.3333333333333335</v>
      </c>
      <c r="AD5" s="7">
        <f t="shared" ref="AD5:AD68" si="1">IF(COUNT(B5,D5,M5,U5)&gt;0,AVERAGE(B5,D5,M5,U5),"")</f>
        <v>1.75</v>
      </c>
      <c r="AE5" s="7">
        <f t="shared" ref="AE5:AE68" si="2">IF(COUNT(I5,T5,V5,W5)&gt;0,AVERAGE(I5,T5,V5,W5),"")</f>
        <v>2.25</v>
      </c>
      <c r="AF5" s="7">
        <f t="shared" ref="AF5:AF68" si="3">IF(COUNT(H5,K5,Q5,S5)&gt;0,AVERAGE(H5,K5,Q5,S5),"")</f>
        <v>2.25</v>
      </c>
      <c r="AG5" s="7">
        <f t="shared" ref="AG5:AG68" si="4">IF(COUNT(E5,F5,G5,R5)&gt;0,AVERAGE(E5,F5,G5,R5),"")</f>
        <v>2</v>
      </c>
      <c r="AH5" s="7">
        <f t="shared" ref="AH5:AH68" si="5">IF(COUNT(C5,J5,O5,Z5)&gt;0,AVERAGE(C5,J5,O5,Z5),"")</f>
        <v>2.25</v>
      </c>
    </row>
    <row r="6" spans="1:34">
      <c r="A6" s="1">
        <f>IF(Data!A6&gt;0,Data!A6-4,"")</f>
        <v>2</v>
      </c>
      <c r="B6" s="1">
        <f>IF(Data!B6&gt;0,Data!B6-4,"")</f>
        <v>0</v>
      </c>
      <c r="C6" s="1">
        <f>IF(Data!C6&gt;0,4-Data!C6,"")</f>
        <v>3</v>
      </c>
      <c r="D6" s="1">
        <f>IF(Data!D6&gt;0,4-Data!D6,"")</f>
        <v>0</v>
      </c>
      <c r="E6" s="1">
        <f>IF(Data!E6&gt;0,4-Data!E6,"")</f>
        <v>1</v>
      </c>
      <c r="F6" s="1">
        <f>IF(Data!F6&gt;0,Data!F6-4,"")</f>
        <v>1</v>
      </c>
      <c r="G6" s="1">
        <f>IF(Data!G6&gt;0,Data!G6-4,"")</f>
        <v>3</v>
      </c>
      <c r="H6" s="1">
        <f>IF(Data!H6&gt;0,Data!H6-4,"")</f>
        <v>-1</v>
      </c>
      <c r="I6" s="1">
        <f>IF(Data!I6&gt;0,4-Data!I6,"")</f>
        <v>0</v>
      </c>
      <c r="J6" s="1">
        <f>IF(Data!J6&gt;0,4-Data!J6,"")</f>
        <v>3</v>
      </c>
      <c r="K6" s="1">
        <f>IF(Data!K6&gt;0,Data!K6-4,"")</f>
        <v>1</v>
      </c>
      <c r="L6" s="1">
        <f>IF(Data!L6&gt;0,4-Data!L6,"")</f>
        <v>2</v>
      </c>
      <c r="M6" s="1">
        <f>IF(Data!M6&gt;0,Data!M6-4,"")</f>
        <v>0</v>
      </c>
      <c r="N6" s="1">
        <f>IF(Data!N6&gt;0,Data!N6-4,"")</f>
        <v>3</v>
      </c>
      <c r="O6" s="1">
        <f>IF(Data!O6&gt;0,Data!O6-4,"")</f>
        <v>3</v>
      </c>
      <c r="P6" s="1">
        <f>IF(Data!P6&gt;0,Data!P6-4,"")</f>
        <v>3</v>
      </c>
      <c r="Q6" s="1">
        <f>IF(Data!Q6&gt;0,4-Data!Q6,"")</f>
        <v>2</v>
      </c>
      <c r="R6" s="1">
        <f>IF(Data!R6&gt;0,4-Data!R6,"")</f>
        <v>1</v>
      </c>
      <c r="S6" s="1">
        <f>IF(Data!S6&gt;0,4-Data!S6,"")</f>
        <v>3</v>
      </c>
      <c r="T6" s="1">
        <f>IF(Data!T6&gt;0,Data!T6-4,"")</f>
        <v>1</v>
      </c>
      <c r="U6" s="1">
        <f>IF(Data!U6&gt;0,4-Data!U6,"")</f>
        <v>0</v>
      </c>
      <c r="V6" s="1">
        <f>IF(Data!V6&gt;0,Data!V6-4,"")</f>
        <v>0</v>
      </c>
      <c r="W6" s="1">
        <f>IF(Data!W6&gt;0,4-Data!W6,"")</f>
        <v>2</v>
      </c>
      <c r="X6" s="1">
        <f>IF(Data!X6&gt;0,4-Data!X6,"")</f>
        <v>3</v>
      </c>
      <c r="Y6" s="1">
        <f>IF(Data!Y6&gt;0,4-Data!Y6,"")</f>
        <v>1</v>
      </c>
      <c r="Z6" s="1">
        <f>IF(Data!Z6&gt;0,Data!Z6-4,"")</f>
        <v>1</v>
      </c>
      <c r="AC6" s="7">
        <f t="shared" si="0"/>
        <v>2.3333333333333335</v>
      </c>
      <c r="AD6" s="7">
        <f t="shared" si="1"/>
        <v>0</v>
      </c>
      <c r="AE6" s="7">
        <f t="shared" si="2"/>
        <v>0.75</v>
      </c>
      <c r="AF6" s="7">
        <f t="shared" si="3"/>
        <v>1.25</v>
      </c>
      <c r="AG6" s="7">
        <f t="shared" si="4"/>
        <v>1.5</v>
      </c>
      <c r="AH6" s="7">
        <f t="shared" si="5"/>
        <v>2.5</v>
      </c>
    </row>
    <row r="7" spans="1:34">
      <c r="A7" s="1">
        <f>IF(Data!A7&gt;0,Data!A7-4,"")</f>
        <v>3</v>
      </c>
      <c r="B7" s="1">
        <f>IF(Data!B7&gt;0,Data!B7-4,"")</f>
        <v>3</v>
      </c>
      <c r="C7" s="1">
        <f>IF(Data!C7&gt;0,4-Data!C7,"")</f>
        <v>3</v>
      </c>
      <c r="D7" s="1">
        <f>IF(Data!D7&gt;0,4-Data!D7,"")</f>
        <v>3</v>
      </c>
      <c r="E7" s="1">
        <f>IF(Data!E7&gt;0,4-Data!E7,"")</f>
        <v>2</v>
      </c>
      <c r="F7" s="1">
        <f>IF(Data!F7&gt;0,Data!F7-4,"")</f>
        <v>2</v>
      </c>
      <c r="G7" s="1">
        <f>IF(Data!G7&gt;0,Data!G7-4,"")</f>
        <v>1</v>
      </c>
      <c r="H7" s="1">
        <f>IF(Data!H7&gt;0,Data!H7-4,"")</f>
        <v>-1</v>
      </c>
      <c r="I7" s="1">
        <f>IF(Data!I7&gt;0,4-Data!I7,"")</f>
        <v>3</v>
      </c>
      <c r="J7" s="1">
        <f>IF(Data!J7&gt;0,4-Data!J7,"")</f>
        <v>3</v>
      </c>
      <c r="K7" s="1">
        <f>IF(Data!K7&gt;0,Data!K7-4,"")</f>
        <v>2</v>
      </c>
      <c r="L7" s="1">
        <f>IF(Data!L7&gt;0,4-Data!L7,"")</f>
        <v>2</v>
      </c>
      <c r="M7" s="1">
        <f>IF(Data!M7&gt;0,Data!M7-4,"")</f>
        <v>3</v>
      </c>
      <c r="N7" s="1">
        <f>IF(Data!N7&gt;0,Data!N7-4,"")</f>
        <v>2</v>
      </c>
      <c r="O7" s="1">
        <f>IF(Data!O7&gt;0,Data!O7-4,"")</f>
        <v>2</v>
      </c>
      <c r="P7" s="1">
        <f>IF(Data!P7&gt;0,Data!P7-4,"")</f>
        <v>2</v>
      </c>
      <c r="Q7" s="1">
        <f>IF(Data!Q7&gt;0,4-Data!Q7,"")</f>
        <v>3</v>
      </c>
      <c r="R7" s="1">
        <f>IF(Data!R7&gt;0,4-Data!R7,"")</f>
        <v>2</v>
      </c>
      <c r="S7" s="1">
        <f>IF(Data!S7&gt;0,4-Data!S7,"")</f>
        <v>3</v>
      </c>
      <c r="T7" s="1">
        <f>IF(Data!T7&gt;0,Data!T7-4,"")</f>
        <v>2</v>
      </c>
      <c r="U7" s="1">
        <f>IF(Data!U7&gt;0,4-Data!U7,"")</f>
        <v>3</v>
      </c>
      <c r="V7" s="1">
        <f>IF(Data!V7&gt;0,Data!V7-4,"")</f>
        <v>3</v>
      </c>
      <c r="W7" s="1">
        <f>IF(Data!W7&gt;0,4-Data!W7,"")</f>
        <v>3</v>
      </c>
      <c r="X7" s="1">
        <f>IF(Data!X7&gt;0,4-Data!X7,"")</f>
        <v>2</v>
      </c>
      <c r="Y7" s="1">
        <f>IF(Data!Y7&gt;0,4-Data!Y7,"")</f>
        <v>1</v>
      </c>
      <c r="Z7" s="1">
        <f>IF(Data!Z7&gt;0,Data!Z7-4,"")</f>
        <v>2</v>
      </c>
      <c r="AC7" s="7">
        <f t="shared" si="0"/>
        <v>2</v>
      </c>
      <c r="AD7" s="7">
        <f t="shared" si="1"/>
        <v>3</v>
      </c>
      <c r="AE7" s="7">
        <f t="shared" si="2"/>
        <v>2.75</v>
      </c>
      <c r="AF7" s="7">
        <f t="shared" si="3"/>
        <v>1.75</v>
      </c>
      <c r="AG7" s="7">
        <f t="shared" si="4"/>
        <v>1.75</v>
      </c>
      <c r="AH7" s="7">
        <f t="shared" si="5"/>
        <v>2.5</v>
      </c>
    </row>
    <row r="8" spans="1:34">
      <c r="A8" s="1">
        <f>IF(Data!A8&gt;0,Data!A8-4,"")</f>
        <v>0</v>
      </c>
      <c r="B8" s="1">
        <f>IF(Data!B8&gt;0,Data!B8-4,"")</f>
        <v>1</v>
      </c>
      <c r="C8" s="1">
        <f>IF(Data!C8&gt;0,4-Data!C8,"")</f>
        <v>1</v>
      </c>
      <c r="D8" s="1">
        <f>IF(Data!D8&gt;0,4-Data!D8,"")</f>
        <v>0</v>
      </c>
      <c r="E8" s="1">
        <f>IF(Data!E8&gt;0,4-Data!E8,"")</f>
        <v>2</v>
      </c>
      <c r="F8" s="1">
        <f>IF(Data!F8&gt;0,Data!F8-4,"")</f>
        <v>2</v>
      </c>
      <c r="G8" s="1">
        <f>IF(Data!G8&gt;0,Data!G8-4,"")</f>
        <v>3</v>
      </c>
      <c r="H8" s="1">
        <f>IF(Data!H8&gt;0,Data!H8-4,"")</f>
        <v>1</v>
      </c>
      <c r="I8" s="1">
        <f>IF(Data!I8&gt;0,4-Data!I8,"")</f>
        <v>-1</v>
      </c>
      <c r="J8" s="1">
        <f>IF(Data!J8&gt;0,4-Data!J8,"")</f>
        <v>2</v>
      </c>
      <c r="K8" s="1">
        <f>IF(Data!K8&gt;0,Data!K8-4,"")</f>
        <v>2</v>
      </c>
      <c r="L8" s="1">
        <f>IF(Data!L8&gt;0,4-Data!L8,"")</f>
        <v>3</v>
      </c>
      <c r="M8" s="1">
        <f>IF(Data!M8&gt;0,Data!M8-4,"")</f>
        <v>0</v>
      </c>
      <c r="N8" s="1">
        <f>IF(Data!N8&gt;0,Data!N8-4,"")</f>
        <v>2</v>
      </c>
      <c r="O8" s="1">
        <f>IF(Data!O8&gt;0,Data!O8-4,"")</f>
        <v>-2</v>
      </c>
      <c r="P8" s="1">
        <f>IF(Data!P8&gt;0,Data!P8-4,"")</f>
        <v>3</v>
      </c>
      <c r="Q8" s="1">
        <f>IF(Data!Q8&gt;0,4-Data!Q8,"")</f>
        <v>2</v>
      </c>
      <c r="R8" s="1">
        <f>IF(Data!R8&gt;0,4-Data!R8,"")</f>
        <v>3</v>
      </c>
      <c r="S8" s="1">
        <f>IF(Data!S8&gt;0,4-Data!S8,"")</f>
        <v>1</v>
      </c>
      <c r="T8" s="1">
        <f>IF(Data!T8&gt;0,Data!T8-4,"")</f>
        <v>3</v>
      </c>
      <c r="U8" s="1">
        <f>IF(Data!U8&gt;0,4-Data!U8,"")</f>
        <v>0</v>
      </c>
      <c r="V8" s="1">
        <f>IF(Data!V8&gt;0,Data!V8-4,"")</f>
        <v>2</v>
      </c>
      <c r="W8" s="1">
        <f>IF(Data!W8&gt;0,4-Data!W8,"")</f>
        <v>1</v>
      </c>
      <c r="X8" s="1">
        <f>IF(Data!X8&gt;0,4-Data!X8,"")</f>
        <v>2</v>
      </c>
      <c r="Y8" s="1">
        <f>IF(Data!Y8&gt;0,4-Data!Y8,"")</f>
        <v>3</v>
      </c>
      <c r="Z8" s="1">
        <f>IF(Data!Z8&gt;0,Data!Z8-4,"")</f>
        <v>2</v>
      </c>
      <c r="AC8" s="7">
        <f t="shared" si="0"/>
        <v>2.1666666666666665</v>
      </c>
      <c r="AD8" s="7">
        <f t="shared" si="1"/>
        <v>0.25</v>
      </c>
      <c r="AE8" s="7">
        <f t="shared" si="2"/>
        <v>1.25</v>
      </c>
      <c r="AF8" s="7">
        <f t="shared" si="3"/>
        <v>1.5</v>
      </c>
      <c r="AG8" s="7">
        <f t="shared" si="4"/>
        <v>2.5</v>
      </c>
      <c r="AH8" s="7">
        <f t="shared" si="5"/>
        <v>0.75</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7" t="str">
        <f t="shared" si="0"/>
        <v/>
      </c>
      <c r="AD9" s="7" t="str">
        <f t="shared" si="1"/>
        <v/>
      </c>
      <c r="AE9" s="7" t="str">
        <f t="shared" si="2"/>
        <v/>
      </c>
      <c r="AF9" s="7" t="str">
        <f t="shared" si="3"/>
        <v/>
      </c>
      <c r="AG9" s="7" t="str">
        <f t="shared" si="4"/>
        <v/>
      </c>
      <c r="AH9" s="7"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7" t="str">
        <f t="shared" si="0"/>
        <v/>
      </c>
      <c r="AD10" s="7" t="str">
        <f t="shared" si="1"/>
        <v/>
      </c>
      <c r="AE10" s="7" t="str">
        <f t="shared" si="2"/>
        <v/>
      </c>
      <c r="AF10" s="7" t="str">
        <f t="shared" si="3"/>
        <v/>
      </c>
      <c r="AG10" s="7" t="str">
        <f t="shared" si="4"/>
        <v/>
      </c>
      <c r="AH10" s="7"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7" t="str">
        <f t="shared" si="0"/>
        <v/>
      </c>
      <c r="AD11" s="7" t="str">
        <f t="shared" si="1"/>
        <v/>
      </c>
      <c r="AE11" s="7" t="str">
        <f t="shared" si="2"/>
        <v/>
      </c>
      <c r="AF11" s="7" t="str">
        <f t="shared" si="3"/>
        <v/>
      </c>
      <c r="AG11" s="7" t="str">
        <f t="shared" si="4"/>
        <v/>
      </c>
      <c r="AH11" s="7"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4" workbookViewId="0">
      <selection activeCell="O2" sqref="O2"/>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5" t="s">
        <v>1288</v>
      </c>
      <c r="B1" s="166"/>
      <c r="C1" s="166"/>
      <c r="D1" s="166"/>
      <c r="E1" s="166"/>
      <c r="F1" s="166"/>
      <c r="G1" s="166"/>
      <c r="H1" s="166"/>
      <c r="I1" s="166"/>
      <c r="J1" s="166"/>
      <c r="K1" s="166"/>
      <c r="L1" s="166"/>
      <c r="M1" s="166"/>
      <c r="N1" s="166"/>
    </row>
    <row r="2" spans="1:18">
      <c r="A2" s="77" t="s">
        <v>2</v>
      </c>
      <c r="B2" s="78" t="s">
        <v>106</v>
      </c>
      <c r="C2" s="79" t="s">
        <v>107</v>
      </c>
      <c r="D2" s="80" t="s">
        <v>108</v>
      </c>
      <c r="E2" s="79" t="s">
        <v>109</v>
      </c>
      <c r="F2" s="81" t="s">
        <v>117</v>
      </c>
      <c r="G2" s="82" t="s">
        <v>118</v>
      </c>
      <c r="H2" s="79" t="s">
        <v>110</v>
      </c>
      <c r="I2" s="83"/>
      <c r="K2" s="164" t="s">
        <v>1279</v>
      </c>
      <c r="L2" s="164"/>
      <c r="M2" s="164"/>
    </row>
    <row r="3" spans="1:18">
      <c r="A3" s="71">
        <v>1</v>
      </c>
      <c r="B3" s="72">
        <f>AVERAGE(DT!A4:A1004)</f>
        <v>2.2000000000000002</v>
      </c>
      <c r="C3" s="72">
        <f>VAR(DT!A4:A1004)</f>
        <v>1.7000000000000002</v>
      </c>
      <c r="D3" s="72">
        <f>SQRT(C3)</f>
        <v>1.3038404810405297</v>
      </c>
      <c r="E3" s="73">
        <f>COUNTA(Data!A4:A1000)</f>
        <v>5</v>
      </c>
      <c r="F3" s="74" t="str">
        <f>VLOOKUP(Read_First!B5,Items!A1:BA50,2,FALSE)</f>
        <v>incresioso</v>
      </c>
      <c r="G3" s="75" t="str">
        <f>VLOOKUP(Read_First!B5,Items!A1:BA50,3,FALSE)</f>
        <v>gradito</v>
      </c>
      <c r="H3" s="76" t="str">
        <f>VLOOKUP(Read_First!B5,Items!A1:BI50,54,FALSE)</f>
        <v>Attrattività</v>
      </c>
      <c r="I3" s="136"/>
      <c r="K3" s="30" t="str">
        <f>VLOOKUP(Read_First!B5,Items!A1:BI50,54,FALSE)</f>
        <v>Attrattività</v>
      </c>
      <c r="L3" s="11">
        <f>AVERAGE(DT!AC4:AC1004)</f>
        <v>2.333333333333333</v>
      </c>
      <c r="M3" s="7">
        <f>VAR(DT!AC4:AC1004)</f>
        <v>9.7222222222224097E-2</v>
      </c>
      <c r="R3" s="5"/>
    </row>
    <row r="4" spans="1:18">
      <c r="A4" s="2">
        <v>2</v>
      </c>
      <c r="B4" s="3">
        <f>AVERAGE(DT!B4:B1004)</f>
        <v>1.4</v>
      </c>
      <c r="C4" s="3">
        <f>VAR(DT!B4:B1004)</f>
        <v>1.2999999999999998</v>
      </c>
      <c r="D4" s="3">
        <f t="shared" ref="D4:D28" si="0">SQRT(C4)</f>
        <v>1.1401754250991378</v>
      </c>
      <c r="E4" s="4">
        <f>COUNTA(Data!B4:B1000)</f>
        <v>5</v>
      </c>
      <c r="F4" s="22" t="str">
        <f>VLOOKUP(Read_First!B5,Items!A1:BA50,4,FALSE)</f>
        <v>incomprensibile</v>
      </c>
      <c r="G4" s="22" t="str">
        <f>VLOOKUP(Read_First!B5,Items!A1:BA50,5,FALSE)</f>
        <v>comprensibile</v>
      </c>
      <c r="H4" s="28" t="str">
        <f>VLOOKUP(Read_First!B5,Items!A1:BI50,55,FALSE)</f>
        <v>Apprendibilità</v>
      </c>
      <c r="I4" s="9"/>
      <c r="K4" s="30" t="str">
        <f>VLOOKUP(Read_First!B5,Items!A1:BI50,55,FALSE)</f>
        <v>Apprendibilità</v>
      </c>
      <c r="L4" s="11">
        <f>AVERAGE(DT!AD4:AD1004)</f>
        <v>1.35</v>
      </c>
      <c r="M4" s="7">
        <f>VAR(DT!AD4:AD1004)</f>
        <v>1.5187499999999998</v>
      </c>
    </row>
    <row r="5" spans="1:18">
      <c r="A5" s="2">
        <v>3</v>
      </c>
      <c r="B5" s="3">
        <f>AVERAGE(DT!C4:C1004)</f>
        <v>1.2</v>
      </c>
      <c r="C5" s="3">
        <f>VAR(DT!C4:C1004)</f>
        <v>4.2</v>
      </c>
      <c r="D5" s="3">
        <f t="shared" si="0"/>
        <v>2.0493901531919199</v>
      </c>
      <c r="E5" s="4">
        <f>COUNTA(Data!C4:C1000)</f>
        <v>5</v>
      </c>
      <c r="F5" s="22" t="str">
        <f>VLOOKUP(Read_First!B5,Items!A1:BA50,6,FALSE)</f>
        <v>creativo</v>
      </c>
      <c r="G5" s="22" t="str">
        <f>VLOOKUP(Read_First!B5,Items!A1:BA50,7,FALSE)</f>
        <v>privo di fantasia</v>
      </c>
      <c r="H5" s="28" t="str">
        <f>VLOOKUP(Read_First!B5,Items!A1:BI50,59,FALSE)</f>
        <v>Originalità</v>
      </c>
      <c r="I5" s="138"/>
      <c r="K5" s="30" t="str">
        <f>VLOOKUP(Read_First!B5,Items!A1:BI50,56,FALSE)</f>
        <v>Efficienca</v>
      </c>
      <c r="L5" s="11">
        <f>AVERAGE(DT!AE4:AE1004)</f>
        <v>1.8</v>
      </c>
      <c r="M5" s="7">
        <f>VAR(DT!AE4:AE1004)</f>
        <v>0.63750000000000018</v>
      </c>
    </row>
    <row r="6" spans="1:18">
      <c r="A6" s="2">
        <v>4</v>
      </c>
      <c r="B6" s="3">
        <f>AVERAGE(DT!D4:D1004)</f>
        <v>1.6</v>
      </c>
      <c r="C6" s="3">
        <f>VAR(DT!D4:D1004)</f>
        <v>2.2999999999999998</v>
      </c>
      <c r="D6" s="3">
        <f t="shared" si="0"/>
        <v>1.51657508881031</v>
      </c>
      <c r="E6" s="4">
        <f>COUNTA(Data!D4:D1000)</f>
        <v>5</v>
      </c>
      <c r="F6" s="22" t="str">
        <f>VLOOKUP(Read_First!B5,Items!A1:BA50,8,FALSE)</f>
        <v xml:space="preserve">facile da capire  </v>
      </c>
      <c r="G6" s="23" t="str">
        <f>VLOOKUP(Read_First!B5,Items!A1:BA50,9,FALSE)</f>
        <v>difficile da capire</v>
      </c>
      <c r="H6" s="28" t="str">
        <f>VLOOKUP(Read_First!B5,Items!A1:BI50,55,FALSE)</f>
        <v>Apprendibilità</v>
      </c>
      <c r="I6" s="9"/>
      <c r="K6" s="31" t="str">
        <f>VLOOKUP(Read_First!B5,Items!A1:BI50,57,FALSE)</f>
        <v>Controllabilità</v>
      </c>
      <c r="L6" s="11">
        <f>AVERAGE(DT!AF4:AF1004)</f>
        <v>1.7</v>
      </c>
      <c r="M6" s="7">
        <f>VAR(DT!AF4:AF1004)</f>
        <v>0.13750000000000018</v>
      </c>
    </row>
    <row r="7" spans="1:18">
      <c r="A7" s="2">
        <v>5</v>
      </c>
      <c r="B7" s="3">
        <f>AVERAGE(DT!E4:E1004)</f>
        <v>1.6</v>
      </c>
      <c r="C7" s="3">
        <f>VAR(DT!E4:E1004)</f>
        <v>0.29999999999999982</v>
      </c>
      <c r="D7" s="3">
        <f t="shared" si="0"/>
        <v>0.54772255750516596</v>
      </c>
      <c r="E7" s="4">
        <f>COUNTA(Data!E4:E1000)</f>
        <v>5</v>
      </c>
      <c r="F7" s="22" t="str">
        <f>VLOOKUP(Read_First!B5,Items!A1:BA50,10,FALSE)</f>
        <v>di grande valore</v>
      </c>
      <c r="G7" s="23" t="str">
        <f>VLOOKUP(Read_First!B5,Items!A1:BA50,11,FALSE)</f>
        <v>di poco valore</v>
      </c>
      <c r="H7" s="29" t="str">
        <f>VLOOKUP(Read_First!B5,Items!A1:BI50,58,FALSE)</f>
        <v>Stimolazione</v>
      </c>
      <c r="I7" s="139"/>
      <c r="K7" s="31" t="str">
        <f>VLOOKUP(Read_First!B5,Items!A1:BI50,58,FALSE)</f>
        <v>Stimolazione</v>
      </c>
      <c r="L7" s="11">
        <f>AVERAGE(DT!AG4:AG1004)</f>
        <v>2</v>
      </c>
      <c r="M7" s="7">
        <f>VAR(DT!AG4:AG1004)</f>
        <v>0.15625</v>
      </c>
    </row>
    <row r="8" spans="1:18">
      <c r="A8" s="2">
        <v>6</v>
      </c>
      <c r="B8" s="3">
        <f>AVERAGE(DT!F4:F1004)</f>
        <v>1.8</v>
      </c>
      <c r="C8" s="3">
        <f>VAR(DT!F4:F1004)</f>
        <v>0.70000000000000018</v>
      </c>
      <c r="D8" s="3">
        <f t="shared" si="0"/>
        <v>0.83666002653407567</v>
      </c>
      <c r="E8" s="4">
        <f>COUNTA(Data!F4:F1000)</f>
        <v>5</v>
      </c>
      <c r="F8" s="22" t="str">
        <f>VLOOKUP(Read_First!B5,Items!A1:BA50,12,FALSE)</f>
        <v>noioso</v>
      </c>
      <c r="G8" s="23" t="str">
        <f>VLOOKUP(Read_First!B5,Items!A1:BA50,13,FALSE)</f>
        <v>appassionante</v>
      </c>
      <c r="H8" s="29" t="str">
        <f>VLOOKUP(Read_First!B5,Items!A1:BI50,58,FALSE)</f>
        <v>Stimolazione</v>
      </c>
      <c r="I8" s="139"/>
      <c r="K8" s="30" t="str">
        <f>VLOOKUP(Read_First!B5,Items!A1:BI50,59,FALSE)</f>
        <v>Originalità</v>
      </c>
      <c r="L8" s="11">
        <f>AVERAGE(DT!AH4:AH1004)</f>
        <v>1.9</v>
      </c>
      <c r="M8" s="7">
        <f>VAR(DT!AH4:AH1004)</f>
        <v>0.58124999999999982</v>
      </c>
    </row>
    <row r="9" spans="1:18">
      <c r="A9" s="2">
        <v>7</v>
      </c>
      <c r="B9" s="3">
        <f>AVERAGE(DT!G4:G1004)</f>
        <v>2.6</v>
      </c>
      <c r="C9" s="3">
        <f>VAR(DT!G4:G1004)</f>
        <v>0.80000000000000071</v>
      </c>
      <c r="D9" s="3">
        <f t="shared" si="0"/>
        <v>0.8944271909999163</v>
      </c>
      <c r="E9" s="4">
        <f>COUNTA(Data!G4:G1000)</f>
        <v>5</v>
      </c>
      <c r="F9" s="22" t="str">
        <f>VLOOKUP(Read_First!B5,Items!A1:BA50,14,FALSE)</f>
        <v>non interessante</v>
      </c>
      <c r="G9" s="23" t="str">
        <f>VLOOKUP(Read_First!B5,Items!A1:BA50,15,FALSE)</f>
        <v>interessante</v>
      </c>
      <c r="H9" s="29" t="str">
        <f>VLOOKUP(Read_First!B5,Items!A1:BI50,58,FALSE)</f>
        <v>Stimolazione</v>
      </c>
      <c r="I9" s="139"/>
    </row>
    <row r="10" spans="1:18">
      <c r="A10" s="2">
        <v>8</v>
      </c>
      <c r="B10" s="3">
        <f>AVERAGE(DT!H4:H1004)</f>
        <v>-0.2</v>
      </c>
      <c r="C10" s="3">
        <f>VAR(DT!H4:H1004)</f>
        <v>0.7</v>
      </c>
      <c r="D10" s="3">
        <f t="shared" si="0"/>
        <v>0.83666002653407556</v>
      </c>
      <c r="E10" s="4">
        <f>COUNTA(Data!H4:H1000)</f>
        <v>5</v>
      </c>
      <c r="F10" s="22" t="str">
        <f>VLOOKUP(Read_First!B5,Items!A1:BA50,16,FALSE)</f>
        <v>imprevedibile</v>
      </c>
      <c r="G10" s="23" t="str">
        <f>VLOOKUP(Read_First!B5,Items!A1:BA50,17,FALSE)</f>
        <v>prevedibile</v>
      </c>
      <c r="H10" s="28" t="str">
        <f>VLOOKUP(Read_First!B5,Items!A1:BI50,57,FALSE)</f>
        <v>Controllabilità</v>
      </c>
      <c r="I10" s="141"/>
    </row>
    <row r="11" spans="1:18">
      <c r="A11" s="2">
        <v>9</v>
      </c>
      <c r="B11" s="3">
        <f>AVERAGE(DT!I4:I1004)</f>
        <v>1.2</v>
      </c>
      <c r="C11" s="3">
        <f>VAR(DT!I4:I1004)</f>
        <v>2.7</v>
      </c>
      <c r="D11" s="3">
        <f t="shared" si="0"/>
        <v>1.6431676725154984</v>
      </c>
      <c r="E11" s="4">
        <f>COUNTA(Data!I4:I1000)</f>
        <v>5</v>
      </c>
      <c r="F11" s="22" t="str">
        <f>VLOOKUP(Read_First!B5,Items!A1:BA50,18,FALSE)</f>
        <v>veloce</v>
      </c>
      <c r="G11" s="23" t="str">
        <f>VLOOKUP(Read_First!B5,Items!A1:BA50,19,FALSE)</f>
        <v>lento</v>
      </c>
      <c r="H11" s="28" t="str">
        <f>VLOOKUP(Read_First!B5,Items!A1:BI50,56,FALSE)</f>
        <v>Efficienca</v>
      </c>
      <c r="I11" s="140"/>
    </row>
    <row r="12" spans="1:18">
      <c r="A12" s="2">
        <v>10</v>
      </c>
      <c r="B12" s="3">
        <f>AVERAGE(DT!J4:J1004)</f>
        <v>2.6</v>
      </c>
      <c r="C12" s="3">
        <f>VAR(DT!J4:J1004)</f>
        <v>0.30000000000000071</v>
      </c>
      <c r="D12" s="3">
        <f t="shared" si="0"/>
        <v>0.54772255750516674</v>
      </c>
      <c r="E12" s="4">
        <f>COUNTA(Data!J4:J1000)</f>
        <v>5</v>
      </c>
      <c r="F12" s="22" t="str">
        <f>VLOOKUP(Read_First!B5,Items!A1:BA50,20,FALSE)</f>
        <v>originale</v>
      </c>
      <c r="G12" s="23" t="str">
        <f>VLOOKUP(Read_First!B5,Items!A1:BA50,21,FALSE)</f>
        <v>convenzionale</v>
      </c>
      <c r="H12" s="28" t="str">
        <f>VLOOKUP(Read_First!B5,Items!A1:BI50,59,FALSE)</f>
        <v>Originalità</v>
      </c>
      <c r="I12" s="138"/>
    </row>
    <row r="13" spans="1:18">
      <c r="A13" s="2">
        <v>11</v>
      </c>
      <c r="B13" s="3">
        <f>AVERAGE(DT!K4:K1004)</f>
        <v>2</v>
      </c>
      <c r="C13" s="3">
        <f>VAR(DT!K4:K1004)</f>
        <v>0.5</v>
      </c>
      <c r="D13" s="3">
        <f t="shared" si="0"/>
        <v>0.70710678118654757</v>
      </c>
      <c r="E13" s="4">
        <f>COUNTA(Data!K4:K1000)</f>
        <v>5</v>
      </c>
      <c r="F13" s="22" t="str">
        <f>VLOOKUP(Read_First!B5,Items!A1:BA50,22,FALSE)</f>
        <v>ostruttiva</v>
      </c>
      <c r="G13" s="23" t="str">
        <f>VLOOKUP(Read_First!B5,Items!A1:BA50,23,FALSE)</f>
        <v>di supporto</v>
      </c>
      <c r="H13" s="28" t="str">
        <f>VLOOKUP(Read_First!B5,Items!A1:BI50,57,FALSE)</f>
        <v>Controllabilità</v>
      </c>
      <c r="I13" s="141"/>
    </row>
    <row r="14" spans="1:18">
      <c r="A14" s="2">
        <v>12</v>
      </c>
      <c r="B14" s="3">
        <f>AVERAGE(DT!L4:L1004)</f>
        <v>2.4</v>
      </c>
      <c r="C14" s="3">
        <f>VAR(DT!L4:L1004)</f>
        <v>0.29999999999999982</v>
      </c>
      <c r="D14" s="3">
        <f t="shared" si="0"/>
        <v>0.54772255750516596</v>
      </c>
      <c r="E14" s="4">
        <f>COUNTA(Data!L4:L1000)</f>
        <v>5</v>
      </c>
      <c r="F14" s="22" t="str">
        <f>VLOOKUP(Read_First!B5,Items!A1:BA50,24,FALSE)</f>
        <v>bene</v>
      </c>
      <c r="G14" s="23" t="str">
        <f>VLOOKUP(Read_First!B5,Items!A1:BA50,25,FALSE)</f>
        <v>male</v>
      </c>
      <c r="H14" s="28" t="str">
        <f>VLOOKUP(Read_First!B5,Items!A1:BI50,54,FALSE)</f>
        <v>Attrattività</v>
      </c>
      <c r="I14" s="137"/>
    </row>
    <row r="15" spans="1:18">
      <c r="A15" s="2">
        <v>13</v>
      </c>
      <c r="B15" s="3">
        <f>AVERAGE(DT!M4:M1004)</f>
        <v>1</v>
      </c>
      <c r="C15" s="3">
        <f>VAR(DT!M4:M1004)</f>
        <v>1.5</v>
      </c>
      <c r="D15" s="3">
        <f t="shared" si="0"/>
        <v>1.2247448713915889</v>
      </c>
      <c r="E15" s="4">
        <f>COUNTA(Data!M4:M1000)</f>
        <v>5</v>
      </c>
      <c r="F15" s="22" t="str">
        <f>VLOOKUP(Read_First!B5,Items!A1:BA50,26,FALSE)</f>
        <v>complicato</v>
      </c>
      <c r="G15" s="23" t="str">
        <f>VLOOKUP(Read_First!B5,Items!A1:BA50,27,FALSE)</f>
        <v>facile</v>
      </c>
      <c r="H15" s="28" t="str">
        <f>VLOOKUP(Read_First!B5,Items!A1:BI50,55,FALSE)</f>
        <v>Apprendibilità</v>
      </c>
      <c r="I15" s="9"/>
    </row>
    <row r="16" spans="1:18">
      <c r="A16" s="2">
        <v>14</v>
      </c>
      <c r="B16" s="3">
        <f>AVERAGE(DT!N4:N1004)</f>
        <v>2.4</v>
      </c>
      <c r="C16" s="3">
        <f>VAR(DT!N4:N1004)</f>
        <v>0.29999999999999982</v>
      </c>
      <c r="D16" s="3">
        <f t="shared" si="0"/>
        <v>0.54772255750516596</v>
      </c>
      <c r="E16" s="4">
        <f>COUNTA(Data!N4:N1000)</f>
        <v>5</v>
      </c>
      <c r="F16" s="22" t="str">
        <f>VLOOKUP(Read_First!B5,Items!A1:BA50,28,FALSE)</f>
        <v>repellente</v>
      </c>
      <c r="G16" s="23" t="str">
        <f>VLOOKUP(Read_First!B5,Items!A1:BA50,29,FALSE)</f>
        <v>attraente</v>
      </c>
      <c r="H16" s="28" t="str">
        <f>VLOOKUP(Read_First!B5,Items!A1:BI50,54,FALSE)</f>
        <v>Attrattività</v>
      </c>
      <c r="I16" s="137"/>
    </row>
    <row r="17" spans="1:9">
      <c r="A17" s="2">
        <v>15</v>
      </c>
      <c r="B17" s="3">
        <f>AVERAGE(DT!O4:O1004)</f>
        <v>1.6</v>
      </c>
      <c r="C17" s="3">
        <f>VAR(DT!O4:O1004)</f>
        <v>4.3</v>
      </c>
      <c r="D17" s="3">
        <f t="shared" si="0"/>
        <v>2.0736441353327719</v>
      </c>
      <c r="E17" s="4">
        <f>COUNTA(Data!O4:O1000)</f>
        <v>5</v>
      </c>
      <c r="F17" s="22" t="str">
        <f>VLOOKUP(Read_First!B5,Items!A1:BA50,30,FALSE)</f>
        <v>usuale</v>
      </c>
      <c r="G17" s="23" t="str">
        <f>VLOOKUP(Read_First!B5,Items!A1:BA50,31,FALSE)</f>
        <v>moderno</v>
      </c>
      <c r="H17" s="28" t="str">
        <f>VLOOKUP(Read_First!B5,Items!A1:BI50,59,FALSE)</f>
        <v>Originalità</v>
      </c>
      <c r="I17" s="138"/>
    </row>
    <row r="18" spans="1:9">
      <c r="A18" s="2">
        <v>16</v>
      </c>
      <c r="B18" s="3">
        <f>AVERAGE(DT!P4:P1004)</f>
        <v>2.6</v>
      </c>
      <c r="C18" s="3">
        <f>VAR(DT!P4:P1004)</f>
        <v>0.30000000000000071</v>
      </c>
      <c r="D18" s="3">
        <f t="shared" si="0"/>
        <v>0.54772255750516674</v>
      </c>
      <c r="E18" s="4">
        <f>COUNTA(Data!P4:P1000)</f>
        <v>5</v>
      </c>
      <c r="F18" s="22" t="str">
        <f>VLOOKUP(Read_First!B5,Items!A1:BA50,32,FALSE)</f>
        <v>sgradevole</v>
      </c>
      <c r="G18" s="23" t="str">
        <f>VLOOKUP(Read_First!B5,Items!A1:BA50,33,FALSE)</f>
        <v>piacevole</v>
      </c>
      <c r="H18" s="28" t="str">
        <f>VLOOKUP(Read_First!B5,Items!A1:BI50,54,FALSE)</f>
        <v>Attrattività</v>
      </c>
      <c r="I18" s="137"/>
    </row>
    <row r="19" spans="1:9">
      <c r="A19" s="2">
        <v>17</v>
      </c>
      <c r="B19" s="3">
        <f>AVERAGE(DT!Q4:Q1004)</f>
        <v>2.4</v>
      </c>
      <c r="C19" s="3">
        <f>VAR(DT!Q4:Q1004)</f>
        <v>0.29999999999999982</v>
      </c>
      <c r="D19" s="3">
        <f t="shared" si="0"/>
        <v>0.54772255750516596</v>
      </c>
      <c r="E19" s="4">
        <f>COUNTA(Data!Q4:Q1000)</f>
        <v>5</v>
      </c>
      <c r="F19" s="22" t="str">
        <f>VLOOKUP(Read_First!B5,Items!A1:BA50,34,FALSE)</f>
        <v>sicuro</v>
      </c>
      <c r="G19" s="23" t="str">
        <f>VLOOKUP(Read_First!B5,Items!A1:BA50,35,FALSE)</f>
        <v>insicuro</v>
      </c>
      <c r="H19" s="28" t="str">
        <f>VLOOKUP(Read_First!B5,Items!A1:BI50,57,FALSE)</f>
        <v>Controllabilità</v>
      </c>
      <c r="I19" s="141"/>
    </row>
    <row r="20" spans="1:9">
      <c r="A20" s="2">
        <v>18</v>
      </c>
      <c r="B20" s="3">
        <f>AVERAGE(DT!R4:R1004)</f>
        <v>2</v>
      </c>
      <c r="C20" s="3">
        <f>VAR(DT!R4:R1004)</f>
        <v>1</v>
      </c>
      <c r="D20" s="3">
        <f t="shared" si="0"/>
        <v>1</v>
      </c>
      <c r="E20" s="4">
        <f>COUNTA(Data!R4:R1000)</f>
        <v>5</v>
      </c>
      <c r="F20" s="22" t="str">
        <f>VLOOKUP(Read_First!B5,Items!A1:BA50,36,FALSE)</f>
        <v>attivante</v>
      </c>
      <c r="G20" s="23" t="str">
        <f>VLOOKUP(Read_First!B5,Items!A1:BA50,37,FALSE)</f>
        <v>soporifero</v>
      </c>
      <c r="H20" s="29" t="str">
        <f>VLOOKUP(Read_First!B5,Items!A1:BI50,58,FALSE)</f>
        <v>Stimolazione</v>
      </c>
      <c r="I20" s="139"/>
    </row>
    <row r="21" spans="1:9">
      <c r="A21" s="2">
        <v>19</v>
      </c>
      <c r="B21" s="3">
        <f>AVERAGE(DT!S4:S1004)</f>
        <v>2.6</v>
      </c>
      <c r="C21" s="3">
        <f>VAR(DT!S4:S1004)</f>
        <v>0.80000000000000071</v>
      </c>
      <c r="D21" s="3">
        <f t="shared" si="0"/>
        <v>0.8944271909999163</v>
      </c>
      <c r="E21" s="4">
        <f>COUNTA(Data!S4:S1000)</f>
        <v>5</v>
      </c>
      <c r="F21" s="22" t="str">
        <f>VLOOKUP(Read_First!B5,Items!A1:BA50,38,FALSE)</f>
        <v>aspettativo</v>
      </c>
      <c r="G21" s="23" t="str">
        <f>VLOOKUP(Read_First!B5,Items!A1:BA50,39,FALSE)</f>
        <v>non aspettativo</v>
      </c>
      <c r="H21" s="28" t="str">
        <f>VLOOKUP(Read_First!B5,Items!A1:BI50,57,FALSE)</f>
        <v>Controllabilità</v>
      </c>
      <c r="I21" s="141"/>
    </row>
    <row r="22" spans="1:9">
      <c r="A22" s="2">
        <v>20</v>
      </c>
      <c r="B22" s="3">
        <f>AVERAGE(DT!T4:T1004)</f>
        <v>2.2000000000000002</v>
      </c>
      <c r="C22" s="3">
        <f>VAR(DT!T4:T1004)</f>
        <v>0.70000000000000018</v>
      </c>
      <c r="D22" s="3">
        <f t="shared" si="0"/>
        <v>0.83666002653407567</v>
      </c>
      <c r="E22" s="4">
        <f>COUNTA(Data!T4:T1000)</f>
        <v>5</v>
      </c>
      <c r="F22" s="22" t="str">
        <f>VLOOKUP(Read_First!B5,Items!A1:BA50,40,FALSE)</f>
        <v>inefficiente</v>
      </c>
      <c r="G22" s="23" t="str">
        <f>VLOOKUP(Read_First!B5,Items!A1:BA50,41,FALSE)</f>
        <v>efficiente</v>
      </c>
      <c r="H22" s="28" t="str">
        <f>VLOOKUP(Read_First!B5,Items!A1:BI50,56,FALSE)</f>
        <v>Efficienca</v>
      </c>
      <c r="I22" s="140"/>
    </row>
    <row r="23" spans="1:9">
      <c r="A23" s="6">
        <v>21</v>
      </c>
      <c r="B23" s="3">
        <f>AVERAGE(DT!U4:U1004)</f>
        <v>1.4</v>
      </c>
      <c r="C23" s="3">
        <f>VAR(DT!U4:U1004)</f>
        <v>1.7999999999999998</v>
      </c>
      <c r="D23" s="3">
        <f t="shared" si="0"/>
        <v>1.3416407864998738</v>
      </c>
      <c r="E23" s="4">
        <f>COUNTA(Data!U4:U1000)</f>
        <v>5</v>
      </c>
      <c r="F23" s="22" t="str">
        <f>VLOOKUP(Read_First!B5,Items!A1:BA50,42,FALSE)</f>
        <v>chiaro</v>
      </c>
      <c r="G23" s="23" t="str">
        <f>VLOOKUP(Read_First!B5,Items!A1:BA50,43,FALSE)</f>
        <v>confuso</v>
      </c>
      <c r="H23" s="28" t="str">
        <f>VLOOKUP(Read_First!B5,Items!A1:BI50,55,FALSE)</f>
        <v>Apprendibilità</v>
      </c>
      <c r="I23" s="9"/>
    </row>
    <row r="24" spans="1:9">
      <c r="A24" s="6">
        <v>22</v>
      </c>
      <c r="B24" s="3">
        <f>AVERAGE(DT!V4:V1004)</f>
        <v>1.8</v>
      </c>
      <c r="C24" s="3">
        <f>VAR(DT!V4:V1004)</f>
        <v>1.2000000000000002</v>
      </c>
      <c r="D24" s="3">
        <f t="shared" si="0"/>
        <v>1.0954451150103324</v>
      </c>
      <c r="E24" s="4">
        <f>COUNTA(Data!V4:V1000)</f>
        <v>5</v>
      </c>
      <c r="F24" s="22" t="str">
        <f>VLOOKUP(Read_First!B5,Items!A1:BA50,44,FALSE)</f>
        <v>non pragmatico</v>
      </c>
      <c r="G24" s="23" t="str">
        <f>VLOOKUP(Read_First!B5,Items!A1:BA50,45,FALSE)</f>
        <v>pragmatico</v>
      </c>
      <c r="H24" s="28" t="str">
        <f>VLOOKUP(Read_First!B5,Items!A1:BI50,56,FALSE)</f>
        <v>Efficienca</v>
      </c>
      <c r="I24" s="140"/>
    </row>
    <row r="25" spans="1:9">
      <c r="A25" s="6">
        <v>23</v>
      </c>
      <c r="B25" s="3">
        <f>AVERAGE(DT!W4:W1004)</f>
        <v>2</v>
      </c>
      <c r="C25" s="3">
        <f>VAR(DT!W4:W1004)</f>
        <v>0.5</v>
      </c>
      <c r="D25" s="3">
        <f t="shared" si="0"/>
        <v>0.70710678118654757</v>
      </c>
      <c r="E25" s="4">
        <f>COUNTA(Data!W4:W1000)</f>
        <v>5</v>
      </c>
      <c r="F25" s="22" t="str">
        <f>VLOOKUP(Read_First!B5,Items!A1:BA50,46,FALSE)</f>
        <v>ordinato</v>
      </c>
      <c r="G25" s="23" t="str">
        <f>VLOOKUP(Read_First!B5,Items!A1:BA50,47,FALSE)</f>
        <v>sovraccarico</v>
      </c>
      <c r="H25" s="28" t="str">
        <f>VLOOKUP(Read_First!B5,Items!A1:BI50,56,FALSE)</f>
        <v>Efficienca</v>
      </c>
      <c r="I25" s="140"/>
    </row>
    <row r="26" spans="1:9">
      <c r="A26" s="6">
        <v>24</v>
      </c>
      <c r="B26" s="3">
        <f>AVERAGE(DT!X4:X1004)</f>
        <v>2.6</v>
      </c>
      <c r="C26" s="3">
        <f>VAR(DT!X4:X1004)</f>
        <v>0.30000000000000071</v>
      </c>
      <c r="D26" s="3">
        <f t="shared" si="0"/>
        <v>0.54772255750516674</v>
      </c>
      <c r="E26" s="4">
        <f>COUNTA(Data!X4:X1000)</f>
        <v>5</v>
      </c>
      <c r="F26" s="22" t="str">
        <f>VLOOKUP(Read_First!B5,Items!A1:BA50,48,FALSE)</f>
        <v>attrattivo</v>
      </c>
      <c r="G26" s="23" t="str">
        <f>VLOOKUP(Read_First!B5,Items!A1:BA50,49,FALSE)</f>
        <v>non attrattivo</v>
      </c>
      <c r="H26" s="28" t="str">
        <f>VLOOKUP(Read_First!B5,Items!A1:BI50,54,FALSE)</f>
        <v>Attrattività</v>
      </c>
      <c r="I26" s="137"/>
    </row>
    <row r="27" spans="1:9">
      <c r="A27" s="6">
        <v>25</v>
      </c>
      <c r="B27" s="3">
        <f>AVERAGE(DT!Y4:Y1004)</f>
        <v>1.8</v>
      </c>
      <c r="C27" s="3">
        <f>VAR(DT!Y4:Y1004)</f>
        <v>1.2000000000000002</v>
      </c>
      <c r="D27" s="3">
        <f t="shared" si="0"/>
        <v>1.0954451150103324</v>
      </c>
      <c r="E27" s="4">
        <f>COUNTA(Data!Y4:Y1000)</f>
        <v>5</v>
      </c>
      <c r="F27" s="22" t="str">
        <f>VLOOKUP(Read_First!B5,Items!A1:BA50,50,FALSE)</f>
        <v>simpatico</v>
      </c>
      <c r="G27" s="23" t="str">
        <f>VLOOKUP(Read_First!B5,Items!A1:BA50,51,FALSE)</f>
        <v>antipatico</v>
      </c>
      <c r="H27" s="28" t="str">
        <f>VLOOKUP(Read_First!B5,Items!A1:BI50,54,FALSE)</f>
        <v>Attrattività</v>
      </c>
      <c r="I27" s="137"/>
    </row>
    <row r="28" spans="1:9">
      <c r="A28" s="6">
        <v>26</v>
      </c>
      <c r="B28" s="3">
        <f>AVERAGE(DT!Z4:Z1004)</f>
        <v>2.2000000000000002</v>
      </c>
      <c r="C28" s="3">
        <f>VAR(DT!Z4:Z1004)</f>
        <v>0.70000000000000018</v>
      </c>
      <c r="D28" s="3">
        <f t="shared" si="0"/>
        <v>0.83666002653407567</v>
      </c>
      <c r="E28" s="4">
        <f>COUNTA(Data!Z4:Z1000)</f>
        <v>5</v>
      </c>
      <c r="F28" s="22" t="str">
        <f>VLOOKUP(Read_First!B5,Items!A1:BA50,52,FALSE)</f>
        <v>conservativo</v>
      </c>
      <c r="G28" s="23" t="str">
        <f>VLOOKUP(Read_First!B5,Items!A1:BA50,53,FALSE)</f>
        <v>innovativo</v>
      </c>
      <c r="H28" s="28" t="str">
        <f>VLOOKUP(Read_First!B5,Items!A1:BI50,59,FALSE)</f>
        <v>Originalità</v>
      </c>
      <c r="I28" s="138"/>
    </row>
    <row r="39" spans="11:15">
      <c r="K39" s="164" t="s">
        <v>822</v>
      </c>
      <c r="L39" s="164"/>
    </row>
    <row r="40" spans="11:15">
      <c r="K40" s="43" t="str">
        <f>VLOOKUP(Read_First!B5,Items!A1:BI50,54,FALSE)</f>
        <v>Attrattività</v>
      </c>
      <c r="L40" s="44">
        <f>AVERAGE(DT!AC4:AC1004)</f>
        <v>2.333333333333333</v>
      </c>
    </row>
    <row r="41" spans="11:15">
      <c r="K41" s="1" t="str">
        <f>VLOOKUP(Read_First!B5,Items!A1:BI50,60,FALSE)</f>
        <v>Qualità Pragmatico</v>
      </c>
      <c r="L41" s="45">
        <f>(L4+L5+L6)/3</f>
        <v>1.6166666666666669</v>
      </c>
    </row>
    <row r="42" spans="11:15">
      <c r="K42" s="1" t="str">
        <f>VLOOKUP(Read_First!B5,Items!A1:BI50,61,FALSE)</f>
        <v>Qualità eEonica</v>
      </c>
      <c r="L42" s="45">
        <f>(L7+L8)/2</f>
        <v>1.95</v>
      </c>
    </row>
    <row r="44" spans="11:15" ht="102.75" customHeight="1">
      <c r="K44" s="153" t="s">
        <v>823</v>
      </c>
      <c r="L44" s="153"/>
      <c r="M44" s="153"/>
      <c r="N44" s="153"/>
      <c r="O44" s="153"/>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0" t="s">
        <v>1289</v>
      </c>
      <c r="B1" s="171"/>
      <c r="C1" s="171"/>
      <c r="D1" s="171"/>
      <c r="E1" s="171"/>
      <c r="F1" s="171"/>
      <c r="G1" s="171"/>
      <c r="H1" s="171"/>
      <c r="I1" s="171"/>
      <c r="J1" s="171"/>
      <c r="K1" s="171"/>
      <c r="L1" s="171"/>
      <c r="M1" s="171"/>
      <c r="N1" s="171"/>
      <c r="O1" s="171"/>
    </row>
    <row r="3" spans="1:15">
      <c r="A3" s="167" t="s">
        <v>114</v>
      </c>
      <c r="B3" s="167"/>
      <c r="C3" s="167"/>
      <c r="D3" s="167"/>
      <c r="E3" s="167"/>
      <c r="F3" s="167"/>
      <c r="G3" s="167"/>
      <c r="I3" s="167" t="s">
        <v>111</v>
      </c>
      <c r="J3" s="167"/>
      <c r="K3" s="167"/>
      <c r="L3" s="167"/>
      <c r="M3" s="167"/>
      <c r="N3" s="167"/>
      <c r="O3" s="167"/>
    </row>
    <row r="4" spans="1:15">
      <c r="A4" s="116" t="s">
        <v>2</v>
      </c>
      <c r="B4" s="117" t="s">
        <v>106</v>
      </c>
      <c r="C4" s="117" t="s">
        <v>108</v>
      </c>
      <c r="D4" s="118" t="s">
        <v>3</v>
      </c>
      <c r="E4" s="117" t="s">
        <v>112</v>
      </c>
      <c r="F4" s="168" t="s">
        <v>113</v>
      </c>
      <c r="G4" s="169"/>
      <c r="I4" s="119" t="s">
        <v>110</v>
      </c>
      <c r="J4" s="118" t="s">
        <v>106</v>
      </c>
      <c r="K4" s="118" t="s">
        <v>108</v>
      </c>
      <c r="L4" s="118" t="s">
        <v>3</v>
      </c>
      <c r="M4" s="120" t="s">
        <v>112</v>
      </c>
      <c r="N4" s="168" t="s">
        <v>113</v>
      </c>
      <c r="O4" s="169"/>
    </row>
    <row r="5" spans="1:15">
      <c r="A5" s="86">
        <v>1</v>
      </c>
      <c r="B5" s="85">
        <f>Results!B3</f>
        <v>2.2000000000000002</v>
      </c>
      <c r="C5" s="85">
        <f>Results!D3</f>
        <v>1.3038404810405297</v>
      </c>
      <c r="D5" s="73">
        <f>Results!E3</f>
        <v>5</v>
      </c>
      <c r="E5" s="85">
        <f t="shared" ref="E5:E24" si="0">CONFIDENCE(0.05, C5, D5)</f>
        <v>1.142845570948237</v>
      </c>
      <c r="F5" s="85">
        <f t="shared" ref="F5:F24" si="1">B5-E5</f>
        <v>1.0571544290517632</v>
      </c>
      <c r="G5" s="85">
        <f t="shared" ref="G5:G24" si="2">B5+E5</f>
        <v>3.3428455709482372</v>
      </c>
      <c r="I5" s="87" t="str">
        <f>VLOOKUP(Read_First!B5,Items!A1:BI50,54,FALSE)</f>
        <v>Attrattività</v>
      </c>
      <c r="J5" s="85">
        <f>AVERAGE(DT!AC4:AC1004)</f>
        <v>2.333333333333333</v>
      </c>
      <c r="K5" s="85">
        <f>STDEV(DT!AC4:AC1004)</f>
        <v>0.31180478223116481</v>
      </c>
      <c r="L5" s="73">
        <f>MAX(D5:D24)</f>
        <v>5</v>
      </c>
      <c r="M5" s="85">
        <f>CONFIDENCE(0.05, K5, L5)</f>
        <v>0.27330391988518826</v>
      </c>
      <c r="N5" s="85">
        <f t="shared" ref="N5:N10" si="3">J5-M5</f>
        <v>2.0600294134481447</v>
      </c>
      <c r="O5" s="85">
        <f t="shared" ref="O5:O10" si="4">J5+M5</f>
        <v>2.6066372532185214</v>
      </c>
    </row>
    <row r="6" spans="1:15">
      <c r="A6" s="13">
        <v>2</v>
      </c>
      <c r="B6" s="11">
        <f>Results!B4</f>
        <v>1.4</v>
      </c>
      <c r="C6" s="11">
        <f>Results!D4</f>
        <v>1.1401754250991378</v>
      </c>
      <c r="D6" s="4">
        <f>Results!E4</f>
        <v>5</v>
      </c>
      <c r="E6" s="11">
        <f t="shared" si="0"/>
        <v>0.99938946031087994</v>
      </c>
      <c r="F6" s="11">
        <f t="shared" si="1"/>
        <v>0.40061053968911997</v>
      </c>
      <c r="G6" s="11">
        <f t="shared" si="2"/>
        <v>2.3993894603108799</v>
      </c>
      <c r="I6" s="10" t="str">
        <f>VLOOKUP(Read_First!B5,Items!A1:BI50,55,FALSE)</f>
        <v>Apprendibilità</v>
      </c>
      <c r="J6" s="11">
        <f>AVERAGE(DT!AD4:AD1004)</f>
        <v>1.35</v>
      </c>
      <c r="K6" s="11">
        <f>STDEV(DT!AD4:AD1004)</f>
        <v>1.2323757543866236</v>
      </c>
      <c r="L6" s="4">
        <f>L5</f>
        <v>5</v>
      </c>
      <c r="M6" s="11">
        <f t="shared" ref="M6:M10" si="5">CONFIDENCE(0.05, K6, L6)</f>
        <v>1.0802051271799442</v>
      </c>
      <c r="N6" s="11">
        <f t="shared" si="3"/>
        <v>0.26979487282005588</v>
      </c>
      <c r="O6" s="11">
        <f t="shared" si="4"/>
        <v>2.4302051271799443</v>
      </c>
    </row>
    <row r="7" spans="1:15">
      <c r="A7" s="13">
        <v>3</v>
      </c>
      <c r="B7" s="11">
        <f>Results!B5</f>
        <v>1.2</v>
      </c>
      <c r="C7" s="11">
        <f>Results!D5</f>
        <v>2.0493901531919199</v>
      </c>
      <c r="D7" s="4">
        <f>Results!E5</f>
        <v>5</v>
      </c>
      <c r="E7" s="11">
        <f t="shared" si="0"/>
        <v>1.7963366637084106</v>
      </c>
      <c r="F7" s="11">
        <f t="shared" si="1"/>
        <v>-0.59633666370841065</v>
      </c>
      <c r="G7" s="11">
        <f t="shared" si="2"/>
        <v>2.9963366637084103</v>
      </c>
      <c r="I7" s="10" t="str">
        <f>VLOOKUP(Read_First!B5,Items!A1:BI50,56,FALSE)</f>
        <v>Efficienca</v>
      </c>
      <c r="J7" s="11">
        <f>AVERAGE(DT!AE4:AE1004)</f>
        <v>1.8</v>
      </c>
      <c r="K7" s="11">
        <f>STDEV(DT!AE4:AE1004)</f>
        <v>0.79843597113356568</v>
      </c>
      <c r="L7" s="4">
        <f>L6</f>
        <v>5</v>
      </c>
      <c r="M7" s="11">
        <f t="shared" si="5"/>
        <v>0.69984712590572296</v>
      </c>
      <c r="N7" s="11">
        <f t="shared" si="3"/>
        <v>1.100152874094277</v>
      </c>
      <c r="O7" s="11">
        <f t="shared" si="4"/>
        <v>2.4998471259057231</v>
      </c>
    </row>
    <row r="8" spans="1:15">
      <c r="A8" s="13">
        <v>4</v>
      </c>
      <c r="B8" s="11">
        <f>Results!B6</f>
        <v>1.6</v>
      </c>
      <c r="C8" s="11">
        <f>Results!D6</f>
        <v>1.51657508881031</v>
      </c>
      <c r="D8" s="4">
        <f>Results!E6</f>
        <v>5</v>
      </c>
      <c r="E8" s="11">
        <f t="shared" si="0"/>
        <v>1.3293122498191672</v>
      </c>
      <c r="F8" s="11">
        <f t="shared" si="1"/>
        <v>0.27068775018083291</v>
      </c>
      <c r="G8" s="11">
        <f t="shared" si="2"/>
        <v>2.9293122498191675</v>
      </c>
      <c r="I8" s="12" t="str">
        <f>VLOOKUP(Read_First!B5,Items!A1:BI50,57,FALSE)</f>
        <v>Controllabilità</v>
      </c>
      <c r="J8" s="11">
        <f>AVERAGE(DT!AF4:AF1004)</f>
        <v>1.7</v>
      </c>
      <c r="K8" s="11">
        <f>STDEV(DT!AF4:AF1004)</f>
        <v>0.37080992435478338</v>
      </c>
      <c r="L8" s="4">
        <f>L7</f>
        <v>5</v>
      </c>
      <c r="M8" s="11">
        <f t="shared" si="5"/>
        <v>0.32502325696646467</v>
      </c>
      <c r="N8" s="11">
        <f t="shared" si="3"/>
        <v>1.3749767430335353</v>
      </c>
      <c r="O8" s="11">
        <f t="shared" si="4"/>
        <v>2.0250232569664646</v>
      </c>
    </row>
    <row r="9" spans="1:15">
      <c r="A9" s="13">
        <v>5</v>
      </c>
      <c r="B9" s="11">
        <f>Results!B7</f>
        <v>1.6</v>
      </c>
      <c r="C9" s="11">
        <f>Results!D7</f>
        <v>0.54772255750516596</v>
      </c>
      <c r="D9" s="4">
        <f>Results!E7</f>
        <v>5</v>
      </c>
      <c r="E9" s="11">
        <f t="shared" si="0"/>
        <v>0.48009116763553072</v>
      </c>
      <c r="F9" s="11">
        <f t="shared" si="1"/>
        <v>1.1199088323644695</v>
      </c>
      <c r="G9" s="11">
        <f t="shared" si="2"/>
        <v>2.0800911676355307</v>
      </c>
      <c r="I9" s="12" t="str">
        <f>VLOOKUP(Read_First!B5,Items!A1:BI50,58,FALSE)</f>
        <v>Stimolazione</v>
      </c>
      <c r="J9" s="11">
        <f>AVERAGE(DT!AG4:AG1004)</f>
        <v>2</v>
      </c>
      <c r="K9" s="11">
        <f>STDEV(DT!AG4:AG1004)</f>
        <v>0.39528470752104744</v>
      </c>
      <c r="L9" s="4">
        <f>L8</f>
        <v>5</v>
      </c>
      <c r="M9" s="11">
        <f t="shared" si="5"/>
        <v>0.34647595608741938</v>
      </c>
      <c r="N9" s="11">
        <f t="shared" si="3"/>
        <v>1.6535240439125807</v>
      </c>
      <c r="O9" s="11">
        <f t="shared" si="4"/>
        <v>2.3464759560874193</v>
      </c>
    </row>
    <row r="10" spans="1:15">
      <c r="A10" s="13">
        <v>6</v>
      </c>
      <c r="B10" s="11">
        <f>Results!B8</f>
        <v>1.8</v>
      </c>
      <c r="C10" s="11">
        <f>Results!D8</f>
        <v>0.83666002653407567</v>
      </c>
      <c r="D10" s="4">
        <f>Results!E8</f>
        <v>5</v>
      </c>
      <c r="E10" s="11">
        <f t="shared" si="0"/>
        <v>0.7333513720565179</v>
      </c>
      <c r="F10" s="11">
        <f t="shared" si="1"/>
        <v>1.0666486279434821</v>
      </c>
      <c r="G10" s="11">
        <f t="shared" si="2"/>
        <v>2.5333513720565177</v>
      </c>
      <c r="I10" s="10" t="str">
        <f>VLOOKUP(Read_First!B5,Items!A1:BI50,59,FALSE)</f>
        <v>Originalità</v>
      </c>
      <c r="J10" s="11">
        <f>AVERAGE(DT!AH4:AH1004)</f>
        <v>1.9</v>
      </c>
      <c r="K10" s="11">
        <f>STDEV(DT!AH4:AH1004)</f>
        <v>0.76239753409884514</v>
      </c>
      <c r="L10" s="4">
        <f>L9</f>
        <v>5</v>
      </c>
      <c r="M10" s="11">
        <f t="shared" si="5"/>
        <v>0.66825862351764054</v>
      </c>
      <c r="N10" s="11">
        <f t="shared" si="3"/>
        <v>1.2317413764823595</v>
      </c>
      <c r="O10" s="11">
        <f t="shared" si="4"/>
        <v>2.5682586235176403</v>
      </c>
    </row>
    <row r="11" spans="1:15">
      <c r="A11" s="13">
        <v>7</v>
      </c>
      <c r="B11" s="11">
        <f>Results!B9</f>
        <v>2.6</v>
      </c>
      <c r="C11" s="11">
        <f>Results!D9</f>
        <v>0.8944271909999163</v>
      </c>
      <c r="D11" s="4">
        <f>Results!E9</f>
        <v>5</v>
      </c>
      <c r="E11" s="11">
        <f t="shared" si="0"/>
        <v>0.78398559381602184</v>
      </c>
      <c r="F11" s="11">
        <f t="shared" si="1"/>
        <v>1.8160144061839782</v>
      </c>
      <c r="G11" s="11">
        <f t="shared" si="2"/>
        <v>3.3839855938160222</v>
      </c>
    </row>
    <row r="12" spans="1:15">
      <c r="A12" s="13">
        <v>8</v>
      </c>
      <c r="B12" s="11">
        <f>Results!B10</f>
        <v>-0.2</v>
      </c>
      <c r="C12" s="11">
        <f>Results!D10</f>
        <v>0.83666002653407556</v>
      </c>
      <c r="D12" s="4">
        <f>Results!E10</f>
        <v>5</v>
      </c>
      <c r="E12" s="11">
        <f t="shared" si="0"/>
        <v>0.73335137205651779</v>
      </c>
      <c r="F12" s="11">
        <f t="shared" si="1"/>
        <v>-0.93335137205651786</v>
      </c>
      <c r="G12" s="11">
        <f t="shared" si="2"/>
        <v>0.53335137205651773</v>
      </c>
    </row>
    <row r="13" spans="1:15">
      <c r="A13" s="13">
        <v>9</v>
      </c>
      <c r="B13" s="11">
        <f>Results!B11</f>
        <v>1.2</v>
      </c>
      <c r="C13" s="11">
        <f>Results!D11</f>
        <v>1.6431676725154984</v>
      </c>
      <c r="D13" s="4">
        <f>Results!E11</f>
        <v>5</v>
      </c>
      <c r="E13" s="11">
        <f t="shared" si="0"/>
        <v>1.4402735029065927</v>
      </c>
      <c r="F13" s="11">
        <f t="shared" si="1"/>
        <v>-0.24027350290659277</v>
      </c>
      <c r="G13" s="11">
        <f t="shared" si="2"/>
        <v>2.6402735029065925</v>
      </c>
      <c r="I13" s="15"/>
    </row>
    <row r="14" spans="1:15">
      <c r="A14" s="13">
        <v>10</v>
      </c>
      <c r="B14" s="11">
        <f>Results!B12</f>
        <v>2.6</v>
      </c>
      <c r="C14" s="11">
        <f>Results!D12</f>
        <v>0.54772255750516674</v>
      </c>
      <c r="D14" s="4">
        <f>Results!E12</f>
        <v>5</v>
      </c>
      <c r="E14" s="11">
        <f t="shared" si="0"/>
        <v>0.48009116763553139</v>
      </c>
      <c r="F14" s="11">
        <f t="shared" si="1"/>
        <v>2.1199088323644686</v>
      </c>
      <c r="G14" s="11">
        <f t="shared" si="2"/>
        <v>3.0800911676355316</v>
      </c>
    </row>
    <row r="15" spans="1:15">
      <c r="A15" s="13">
        <v>11</v>
      </c>
      <c r="B15" s="11">
        <f>Results!B13</f>
        <v>2</v>
      </c>
      <c r="C15" s="11">
        <f>Results!D13</f>
        <v>0.70710678118654757</v>
      </c>
      <c r="D15" s="4">
        <f>Results!E13</f>
        <v>5</v>
      </c>
      <c r="E15" s="11">
        <f t="shared" si="0"/>
        <v>0.61979503230456146</v>
      </c>
      <c r="F15" s="11">
        <f t="shared" si="1"/>
        <v>1.3802049676954384</v>
      </c>
      <c r="G15" s="11">
        <f t="shared" si="2"/>
        <v>2.6197950323045616</v>
      </c>
      <c r="J15" s="84"/>
    </row>
    <row r="16" spans="1:15">
      <c r="A16" s="13">
        <v>12</v>
      </c>
      <c r="B16" s="11">
        <f>Results!B14</f>
        <v>2.4</v>
      </c>
      <c r="C16" s="11">
        <f>Results!D14</f>
        <v>0.54772255750516596</v>
      </c>
      <c r="D16" s="4">
        <f>Results!E14</f>
        <v>5</v>
      </c>
      <c r="E16" s="11">
        <f t="shared" si="0"/>
        <v>0.48009116763553072</v>
      </c>
      <c r="F16" s="11">
        <f t="shared" si="1"/>
        <v>1.9199088323644693</v>
      </c>
      <c r="G16" s="11">
        <f t="shared" si="2"/>
        <v>2.8800911676355305</v>
      </c>
    </row>
    <row r="17" spans="1:7">
      <c r="A17" s="13">
        <v>13</v>
      </c>
      <c r="B17" s="11">
        <f>Results!B15</f>
        <v>1</v>
      </c>
      <c r="C17" s="11">
        <f>Results!D15</f>
        <v>1.2247448713915889</v>
      </c>
      <c r="D17" s="4">
        <f>Results!E15</f>
        <v>5</v>
      </c>
      <c r="E17" s="11">
        <f t="shared" si="0"/>
        <v>1.0735164862302939</v>
      </c>
      <c r="F17" s="11">
        <f t="shared" si="1"/>
        <v>-7.3516486230293943E-2</v>
      </c>
      <c r="G17" s="11">
        <f t="shared" si="2"/>
        <v>2.0735164862302939</v>
      </c>
    </row>
    <row r="18" spans="1:7">
      <c r="A18" s="13">
        <v>14</v>
      </c>
      <c r="B18" s="11">
        <f>Results!B16</f>
        <v>2.4</v>
      </c>
      <c r="C18" s="11">
        <f>Results!D16</f>
        <v>0.54772255750516596</v>
      </c>
      <c r="D18" s="4">
        <f>Results!E16</f>
        <v>5</v>
      </c>
      <c r="E18" s="11">
        <f t="shared" si="0"/>
        <v>0.48009116763553072</v>
      </c>
      <c r="F18" s="11">
        <f t="shared" si="1"/>
        <v>1.9199088323644693</v>
      </c>
      <c r="G18" s="11">
        <f t="shared" si="2"/>
        <v>2.8800911676355305</v>
      </c>
    </row>
    <row r="19" spans="1:7">
      <c r="A19" s="13">
        <v>15</v>
      </c>
      <c r="B19" s="11">
        <f>Results!B17</f>
        <v>1.6</v>
      </c>
      <c r="C19" s="11">
        <f>Results!D17</f>
        <v>2.0736441353327719</v>
      </c>
      <c r="D19" s="4">
        <f>Results!E17</f>
        <v>5</v>
      </c>
      <c r="E19" s="11">
        <f t="shared" si="0"/>
        <v>1.8175958257536093</v>
      </c>
      <c r="F19" s="11">
        <f t="shared" si="1"/>
        <v>-0.21759582575360925</v>
      </c>
      <c r="G19" s="11">
        <f t="shared" si="2"/>
        <v>3.4175958257536094</v>
      </c>
    </row>
    <row r="20" spans="1:7">
      <c r="A20" s="13">
        <v>16</v>
      </c>
      <c r="B20" s="11">
        <f>Results!B18</f>
        <v>2.6</v>
      </c>
      <c r="C20" s="11">
        <f>Results!D18</f>
        <v>0.54772255750516674</v>
      </c>
      <c r="D20" s="4">
        <f>Results!E18</f>
        <v>5</v>
      </c>
      <c r="E20" s="11">
        <f t="shared" si="0"/>
        <v>0.48009116763553139</v>
      </c>
      <c r="F20" s="11">
        <f t="shared" si="1"/>
        <v>2.1199088323644686</v>
      </c>
      <c r="G20" s="11">
        <f t="shared" si="2"/>
        <v>3.0800911676355316</v>
      </c>
    </row>
    <row r="21" spans="1:7">
      <c r="A21" s="13">
        <v>17</v>
      </c>
      <c r="B21" s="11">
        <f>Results!B19</f>
        <v>2.4</v>
      </c>
      <c r="C21" s="11">
        <f>Results!D19</f>
        <v>0.54772255750516596</v>
      </c>
      <c r="D21" s="4">
        <f>Results!E19</f>
        <v>5</v>
      </c>
      <c r="E21" s="11">
        <f t="shared" si="0"/>
        <v>0.48009116763553072</v>
      </c>
      <c r="F21" s="11">
        <f t="shared" si="1"/>
        <v>1.9199088323644693</v>
      </c>
      <c r="G21" s="11">
        <f t="shared" si="2"/>
        <v>2.8800911676355305</v>
      </c>
    </row>
    <row r="22" spans="1:7">
      <c r="A22" s="13">
        <v>18</v>
      </c>
      <c r="B22" s="11">
        <f>Results!B20</f>
        <v>2</v>
      </c>
      <c r="C22" s="11">
        <f>Results!D20</f>
        <v>1</v>
      </c>
      <c r="D22" s="4">
        <f>Results!E20</f>
        <v>5</v>
      </c>
      <c r="E22" s="11">
        <f t="shared" si="0"/>
        <v>0.8765225405765813</v>
      </c>
      <c r="F22" s="11">
        <f t="shared" si="1"/>
        <v>1.1234774594234187</v>
      </c>
      <c r="G22" s="11">
        <f t="shared" si="2"/>
        <v>2.8765225405765813</v>
      </c>
    </row>
    <row r="23" spans="1:7">
      <c r="A23" s="13">
        <v>19</v>
      </c>
      <c r="B23" s="11">
        <f>Results!B21</f>
        <v>2.6</v>
      </c>
      <c r="C23" s="11">
        <f>Results!D21</f>
        <v>0.8944271909999163</v>
      </c>
      <c r="D23" s="4">
        <f>Results!E21</f>
        <v>5</v>
      </c>
      <c r="E23" s="11">
        <f t="shared" si="0"/>
        <v>0.78398559381602184</v>
      </c>
      <c r="F23" s="11">
        <f t="shared" si="1"/>
        <v>1.8160144061839782</v>
      </c>
      <c r="G23" s="11">
        <f t="shared" si="2"/>
        <v>3.3839855938160222</v>
      </c>
    </row>
    <row r="24" spans="1:7">
      <c r="A24" s="13">
        <v>20</v>
      </c>
      <c r="B24" s="11">
        <f>Results!B22</f>
        <v>2.2000000000000002</v>
      </c>
      <c r="C24" s="11">
        <f>Results!D22</f>
        <v>0.83666002653407567</v>
      </c>
      <c r="D24" s="4">
        <f>Results!E22</f>
        <v>5</v>
      </c>
      <c r="E24" s="11">
        <f t="shared" si="0"/>
        <v>0.7333513720565179</v>
      </c>
      <c r="F24" s="11">
        <f t="shared" si="1"/>
        <v>1.4666486279434823</v>
      </c>
      <c r="G24" s="11">
        <f t="shared" si="2"/>
        <v>2.9333513720565181</v>
      </c>
    </row>
    <row r="25" spans="1:7">
      <c r="A25" s="14">
        <v>21</v>
      </c>
      <c r="B25" s="11">
        <f>Results!B23</f>
        <v>1.4</v>
      </c>
      <c r="C25" s="11">
        <f>Results!D23</f>
        <v>1.3416407864998738</v>
      </c>
      <c r="D25" s="4">
        <f>Results!E23</f>
        <v>5</v>
      </c>
      <c r="E25" s="11">
        <f t="shared" ref="E25:E30" si="6">CONFIDENCE(0.05, C25, D25)</f>
        <v>1.1759783907240322</v>
      </c>
      <c r="F25" s="11">
        <f t="shared" ref="F25:F30" si="7">B25-E25</f>
        <v>0.2240216092759677</v>
      </c>
      <c r="G25" s="11">
        <f t="shared" ref="G25:G30" si="8">B25+E25</f>
        <v>2.5759783907240319</v>
      </c>
    </row>
    <row r="26" spans="1:7">
      <c r="A26" s="14">
        <v>22</v>
      </c>
      <c r="B26" s="11">
        <f>Results!B24</f>
        <v>1.8</v>
      </c>
      <c r="C26" s="11">
        <f>Results!D24</f>
        <v>1.0954451150103324</v>
      </c>
      <c r="D26" s="4">
        <f>Results!E24</f>
        <v>5</v>
      </c>
      <c r="E26" s="11">
        <f t="shared" si="6"/>
        <v>0.96018233527106178</v>
      </c>
      <c r="F26" s="11">
        <f t="shared" si="7"/>
        <v>0.83981766472893826</v>
      </c>
      <c r="G26" s="11">
        <f t="shared" si="8"/>
        <v>2.7601823352710619</v>
      </c>
    </row>
    <row r="27" spans="1:7">
      <c r="A27" s="14">
        <v>23</v>
      </c>
      <c r="B27" s="11">
        <f>Results!B25</f>
        <v>2</v>
      </c>
      <c r="C27" s="11">
        <f>Results!D25</f>
        <v>0.70710678118654757</v>
      </c>
      <c r="D27" s="4">
        <f>Results!E25</f>
        <v>5</v>
      </c>
      <c r="E27" s="11">
        <f t="shared" si="6"/>
        <v>0.61979503230456146</v>
      </c>
      <c r="F27" s="11">
        <f t="shared" si="7"/>
        <v>1.3802049676954384</v>
      </c>
      <c r="G27" s="11">
        <f t="shared" si="8"/>
        <v>2.6197950323045616</v>
      </c>
    </row>
    <row r="28" spans="1:7">
      <c r="A28" s="14">
        <v>24</v>
      </c>
      <c r="B28" s="11">
        <f>Results!B26</f>
        <v>2.6</v>
      </c>
      <c r="C28" s="11">
        <f>Results!D26</f>
        <v>0.54772255750516674</v>
      </c>
      <c r="D28" s="4">
        <f>Results!E26</f>
        <v>5</v>
      </c>
      <c r="E28" s="11">
        <f t="shared" si="6"/>
        <v>0.48009116763553139</v>
      </c>
      <c r="F28" s="11">
        <f t="shared" si="7"/>
        <v>2.1199088323644686</v>
      </c>
      <c r="G28" s="11">
        <f t="shared" si="8"/>
        <v>3.0800911676355316</v>
      </c>
    </row>
    <row r="29" spans="1:7">
      <c r="A29" s="14">
        <v>25</v>
      </c>
      <c r="B29" s="11">
        <f>Results!B27</f>
        <v>1.8</v>
      </c>
      <c r="C29" s="11">
        <f>Results!D27</f>
        <v>1.0954451150103324</v>
      </c>
      <c r="D29" s="4">
        <f>Results!E27</f>
        <v>5</v>
      </c>
      <c r="E29" s="11">
        <f t="shared" si="6"/>
        <v>0.96018233527106178</v>
      </c>
      <c r="F29" s="11">
        <f t="shared" si="7"/>
        <v>0.83981766472893826</v>
      </c>
      <c r="G29" s="11">
        <f t="shared" si="8"/>
        <v>2.7601823352710619</v>
      </c>
    </row>
    <row r="30" spans="1:7">
      <c r="A30" s="14">
        <v>26</v>
      </c>
      <c r="B30" s="11">
        <f>Results!B28</f>
        <v>2.2000000000000002</v>
      </c>
      <c r="C30" s="11">
        <f>Results!D28</f>
        <v>0.83666002653407567</v>
      </c>
      <c r="D30" s="4">
        <f>Results!E28</f>
        <v>5</v>
      </c>
      <c r="E30" s="11">
        <f t="shared" si="6"/>
        <v>0.7333513720565179</v>
      </c>
      <c r="F30" s="11">
        <f t="shared" si="7"/>
        <v>1.4666486279434823</v>
      </c>
      <c r="G30" s="11">
        <f t="shared" si="8"/>
        <v>2.9333513720565181</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c r="A1" s="172" t="s">
        <v>1290</v>
      </c>
      <c r="B1" s="166"/>
      <c r="C1" s="166"/>
      <c r="D1" s="166"/>
      <c r="E1" s="166"/>
      <c r="F1" s="166"/>
      <c r="G1" s="166"/>
      <c r="H1" s="166"/>
      <c r="I1" s="166"/>
      <c r="J1" s="166"/>
      <c r="K1" s="166"/>
    </row>
    <row r="2" spans="1:11">
      <c r="A2" s="88" t="s">
        <v>1296</v>
      </c>
      <c r="B2" s="89" t="s">
        <v>2</v>
      </c>
      <c r="C2" s="90">
        <v>1</v>
      </c>
      <c r="D2" s="92">
        <v>2</v>
      </c>
      <c r="E2" s="92">
        <v>3</v>
      </c>
      <c r="F2" s="92">
        <v>4</v>
      </c>
      <c r="G2" s="92">
        <v>5</v>
      </c>
      <c r="H2" s="92">
        <v>6</v>
      </c>
      <c r="I2" s="92">
        <v>7</v>
      </c>
      <c r="J2" s="70" t="s">
        <v>110</v>
      </c>
    </row>
    <row r="3" spans="1:11">
      <c r="A3" s="2">
        <v>1</v>
      </c>
      <c r="B3" s="1" t="str">
        <f>_xlfn.CONCAT(Results!F3,"/",Results!G3)</f>
        <v>incresioso/gradito</v>
      </c>
      <c r="C3" s="1">
        <f>COUNTIF(DT!A4:A1004,"-3")</f>
        <v>0</v>
      </c>
      <c r="D3" s="1">
        <f>COUNTIF(DT!A4:A1004,"-2")</f>
        <v>0</v>
      </c>
      <c r="E3" s="1">
        <f>COUNTIF(DT!A4:A1004,"-1")</f>
        <v>0</v>
      </c>
      <c r="F3" s="1">
        <f>COUNTIF(DT!A4:A1004,"0")</f>
        <v>1</v>
      </c>
      <c r="G3" s="1">
        <f>COUNTIF(DT!A4:A1004,"1")</f>
        <v>0</v>
      </c>
      <c r="H3" s="1">
        <f>COUNTIF(DT!A4:A1004,"2")</f>
        <v>1</v>
      </c>
      <c r="I3" s="1">
        <f>COUNTIF(DT!A4:A1004,"3")</f>
        <v>3</v>
      </c>
      <c r="J3" s="28" t="str">
        <f>Results!H3</f>
        <v>Attrattività</v>
      </c>
    </row>
    <row r="4" spans="1:11">
      <c r="A4" s="2">
        <v>2</v>
      </c>
      <c r="B4" s="1" t="str">
        <f>_xlfn.CONCAT(Results!F4,"/",Results!G4)</f>
        <v>incomprensibile/comprensibile</v>
      </c>
      <c r="C4" s="1">
        <f>COUNTIF(DT!B4:B1004,"-3")</f>
        <v>0</v>
      </c>
      <c r="D4" s="1">
        <f>COUNTIF(DT!B4:B1004,"-2")</f>
        <v>0</v>
      </c>
      <c r="E4" s="1">
        <f>COUNTIF(DT!B4:B1004,"-1")</f>
        <v>0</v>
      </c>
      <c r="F4" s="1">
        <f>COUNTIF(DT!B4:B1004,"0")</f>
        <v>1</v>
      </c>
      <c r="G4" s="1">
        <f>COUNTIF(DT!B4:B1004,"1")</f>
        <v>2</v>
      </c>
      <c r="H4" s="1">
        <f>COUNTIF(DT!B4:B1004,"2")</f>
        <v>1</v>
      </c>
      <c r="I4" s="1">
        <f>COUNTIF(DT!B4:B1004,"3")</f>
        <v>1</v>
      </c>
      <c r="J4" s="28" t="str">
        <f>Results!H4</f>
        <v>Apprendibilità</v>
      </c>
    </row>
    <row r="5" spans="1:11">
      <c r="A5" s="2">
        <v>3</v>
      </c>
      <c r="B5" s="1" t="str">
        <f>_xlfn.CONCAT(Results!G5,"/",Results!F5)</f>
        <v>privo di fantasia/creativo</v>
      </c>
      <c r="C5" s="1">
        <f>COUNTIF(DT!C4:C1004,"-3")</f>
        <v>0</v>
      </c>
      <c r="D5" s="1">
        <f>COUNTIF(DT!C4:C1004,"-2")</f>
        <v>1</v>
      </c>
      <c r="E5" s="1">
        <f>COUNTIF(DT!C4:C1004,"-1")</f>
        <v>0</v>
      </c>
      <c r="F5" s="1">
        <f>COUNTIF(DT!C4:C1004,"0")</f>
        <v>0</v>
      </c>
      <c r="G5" s="1">
        <f>COUNTIF(DT!C4:C1004,"1")</f>
        <v>2</v>
      </c>
      <c r="H5" s="1">
        <f>COUNTIF(DT!C4:C1004,"2")</f>
        <v>0</v>
      </c>
      <c r="I5" s="1">
        <f>COUNTIF(DT!C4:C1004,"3")</f>
        <v>2</v>
      </c>
      <c r="J5" s="28" t="str">
        <f>Results!H5</f>
        <v>Originalità</v>
      </c>
    </row>
    <row r="6" spans="1:11">
      <c r="A6" s="2">
        <v>4</v>
      </c>
      <c r="B6" s="1" t="str">
        <f>_xlfn.CONCAT(Results!G6,"/",Results!F6)</f>
        <v xml:space="preserve">difficile da capire/facile da capire  </v>
      </c>
      <c r="C6" s="1">
        <f>COUNTIF(DT!D4:D1004,"-3")</f>
        <v>0</v>
      </c>
      <c r="D6" s="1">
        <f>COUNTIF(DT!D4:D1004,"-2")</f>
        <v>0</v>
      </c>
      <c r="E6" s="1">
        <f>COUNTIF(DT!D4:D1004,"-1")</f>
        <v>0</v>
      </c>
      <c r="F6" s="1">
        <f>COUNTIF(DT!D4:D1004,"0")</f>
        <v>2</v>
      </c>
      <c r="G6" s="1">
        <f>COUNTIF(DT!D4:D1004,"1")</f>
        <v>0</v>
      </c>
      <c r="H6" s="1">
        <f>COUNTIF(DT!D4:D1004,"2")</f>
        <v>1</v>
      </c>
      <c r="I6" s="1">
        <f>COUNTIF(DT!D4:D1004,"3")</f>
        <v>2</v>
      </c>
      <c r="J6" s="28" t="str">
        <f>Results!H6</f>
        <v>Apprendibilità</v>
      </c>
    </row>
    <row r="7" spans="1:11">
      <c r="A7" s="2">
        <v>5</v>
      </c>
      <c r="B7" s="1" t="str">
        <f>_xlfn.CONCAT(Results!G7,"/",Results!F7)</f>
        <v>di poco valore/di grande valore</v>
      </c>
      <c r="C7" s="1">
        <f>COUNTIF(DT!E4:E1004,"-3")</f>
        <v>0</v>
      </c>
      <c r="D7" s="1">
        <f>COUNTIF(DT!E4:E1004,"-2")</f>
        <v>0</v>
      </c>
      <c r="E7" s="1">
        <f>COUNTIF(DT!E4:E1004,"-1")</f>
        <v>0</v>
      </c>
      <c r="F7" s="1">
        <f>COUNTIF(DT!E4:E1004,"0")</f>
        <v>0</v>
      </c>
      <c r="G7" s="1">
        <f>COUNTIF(DT!E4:E1004,"1")</f>
        <v>2</v>
      </c>
      <c r="H7" s="1">
        <f>COUNTIF(DT!E4:E1004,"2")</f>
        <v>3</v>
      </c>
      <c r="I7" s="1">
        <f>COUNTIF(DT!E4:E1004,"3")</f>
        <v>0</v>
      </c>
      <c r="J7" s="29" t="str">
        <f>Results!H7</f>
        <v>Stimolazione</v>
      </c>
    </row>
    <row r="8" spans="1:11">
      <c r="A8" s="2">
        <v>6</v>
      </c>
      <c r="B8" s="1" t="str">
        <f>_xlfn.CONCAT(Results!F8,"/",Results!G8)</f>
        <v>noioso/appassionante</v>
      </c>
      <c r="C8" s="1">
        <f>COUNTIF(DT!F4:F1004,"-3")</f>
        <v>0</v>
      </c>
      <c r="D8" s="1">
        <f>COUNTIF(DT!F4:F1004,"-2")</f>
        <v>0</v>
      </c>
      <c r="E8" s="1">
        <f>COUNTIF(DT!F4:F1004,"-1")</f>
        <v>0</v>
      </c>
      <c r="F8" s="1">
        <f>COUNTIF(DT!F4:F1004,"0")</f>
        <v>0</v>
      </c>
      <c r="G8" s="1">
        <f>COUNTIF(DT!F4:F1004,"1")</f>
        <v>2</v>
      </c>
      <c r="H8" s="1">
        <f>COUNTIF(DT!F4:F1004,"2")</f>
        <v>2</v>
      </c>
      <c r="I8" s="1">
        <f>COUNTIF(DT!F4:F1004,"3")</f>
        <v>1</v>
      </c>
      <c r="J8" s="29" t="str">
        <f>Results!H8</f>
        <v>Stimolazione</v>
      </c>
    </row>
    <row r="9" spans="1:11">
      <c r="A9" s="2">
        <v>7</v>
      </c>
      <c r="B9" s="1" t="str">
        <f>_xlfn.CONCAT(Results!F9,"/",Results!G9)</f>
        <v>non interessante/interessante</v>
      </c>
      <c r="C9" s="1">
        <f>COUNTIF(DT!G4:G1004,"-3")</f>
        <v>0</v>
      </c>
      <c r="D9" s="1">
        <f>COUNTIF(DT!G4:G1004,"-2")</f>
        <v>0</v>
      </c>
      <c r="E9" s="1">
        <f>COUNTIF(DT!G4:G1004,"-1")</f>
        <v>0</v>
      </c>
      <c r="F9" s="1">
        <f>COUNTIF(DT!G4:G1004,"0")</f>
        <v>0</v>
      </c>
      <c r="G9" s="1">
        <f>COUNTIF(DT!G4:G1004,"1")</f>
        <v>1</v>
      </c>
      <c r="H9" s="1">
        <f>COUNTIF(DT!G4:G1004,"2")</f>
        <v>0</v>
      </c>
      <c r="I9" s="1">
        <f>COUNTIF(DT!G4:G1004,"3")</f>
        <v>4</v>
      </c>
      <c r="J9" s="29" t="str">
        <f>Results!H9</f>
        <v>Stimolazione</v>
      </c>
    </row>
    <row r="10" spans="1:11">
      <c r="A10" s="2">
        <v>8</v>
      </c>
      <c r="B10" s="1" t="str">
        <f>_xlfn.CONCAT(Results!F10,"/",Results!G10)</f>
        <v>imprevedibile/prevedibile</v>
      </c>
      <c r="C10" s="1">
        <f>COUNTIF(DT!H4:H1004,"-3")</f>
        <v>0</v>
      </c>
      <c r="D10" s="1">
        <f>COUNTIF(DT!H4:H1004,"-2")</f>
        <v>0</v>
      </c>
      <c r="E10" s="1">
        <f>COUNTIF(DT!H4:H1004,"-1")</f>
        <v>2</v>
      </c>
      <c r="F10" s="1">
        <f>COUNTIF(DT!H4:H1004,"0")</f>
        <v>2</v>
      </c>
      <c r="G10" s="1">
        <f>COUNTIF(DT!H4:H1004,"1")</f>
        <v>1</v>
      </c>
      <c r="H10" s="1">
        <f>COUNTIF(DT!H4:H1004,"2")</f>
        <v>0</v>
      </c>
      <c r="I10" s="1">
        <f>COUNTIF(DT!H4:H1004,"3")</f>
        <v>0</v>
      </c>
      <c r="J10" s="28" t="str">
        <f>Results!H10</f>
        <v>Controllabilità</v>
      </c>
    </row>
    <row r="11" spans="1:11">
      <c r="A11" s="2">
        <v>9</v>
      </c>
      <c r="B11" s="1" t="str">
        <f>_xlfn.CONCAT(Results!G11,"/",Results!F11)</f>
        <v>lento/veloce</v>
      </c>
      <c r="C11" s="1">
        <f>COUNTIF(DT!I4:I1004,"-3")</f>
        <v>0</v>
      </c>
      <c r="D11" s="1">
        <f>COUNTIF(DT!I4:I1004,"-2")</f>
        <v>0</v>
      </c>
      <c r="E11" s="1">
        <f>COUNTIF(DT!I4:I1004,"-1")</f>
        <v>1</v>
      </c>
      <c r="F11" s="1">
        <f>COUNTIF(DT!I4:I1004,"0")</f>
        <v>1</v>
      </c>
      <c r="G11" s="1">
        <f>COUNTIF(DT!I4:I1004,"1")</f>
        <v>0</v>
      </c>
      <c r="H11" s="1">
        <f>COUNTIF(DT!I4:I1004,"2")</f>
        <v>2</v>
      </c>
      <c r="I11" s="1">
        <f>COUNTIF(DT!I4:I1004,"3")</f>
        <v>1</v>
      </c>
      <c r="J11" s="28" t="str">
        <f>Results!H11</f>
        <v>Efficienca</v>
      </c>
    </row>
    <row r="12" spans="1:11">
      <c r="A12" s="2">
        <v>10</v>
      </c>
      <c r="B12" s="1" t="str">
        <f>_xlfn.CONCAT(Results!G12,"/",Results!F12)</f>
        <v>convenzionale/originale</v>
      </c>
      <c r="C12" s="1">
        <f>COUNTIF(DT!J4:J1004,"-3")</f>
        <v>0</v>
      </c>
      <c r="D12" s="1">
        <f>COUNTIF(DT!J4:J1004,"-2")</f>
        <v>0</v>
      </c>
      <c r="E12" s="1">
        <f>COUNTIF(DT!J4:J1004,"-1")</f>
        <v>0</v>
      </c>
      <c r="F12" s="1">
        <f>COUNTIF(DT!J4:J1004,"0")</f>
        <v>0</v>
      </c>
      <c r="G12" s="1">
        <f>COUNTIF(DT!J4:J1004,"1")</f>
        <v>0</v>
      </c>
      <c r="H12" s="1">
        <f>COUNTIF(DT!J4:J1004,"2")</f>
        <v>2</v>
      </c>
      <c r="I12" s="1">
        <f>COUNTIF(DT!J4:J1004,"3")</f>
        <v>3</v>
      </c>
      <c r="J12" s="28" t="str">
        <f>Results!H12</f>
        <v>Originalità</v>
      </c>
    </row>
    <row r="13" spans="1:11">
      <c r="A13" s="2">
        <v>11</v>
      </c>
      <c r="B13" s="1" t="str">
        <f>_xlfn.CONCAT(Results!F13,"/",Results!G13)</f>
        <v>ostruttiva/di supporto</v>
      </c>
      <c r="C13" s="1">
        <f>COUNTIF(DT!K4:K1004,"-3")</f>
        <v>0</v>
      </c>
      <c r="D13" s="1">
        <f>COUNTIF(DT!K4:K1004,"-2")</f>
        <v>0</v>
      </c>
      <c r="E13" s="1">
        <f>COUNTIF(DT!K4:K1004,"-1")</f>
        <v>0</v>
      </c>
      <c r="F13" s="1">
        <f>COUNTIF(DT!K4:K1004,"0")</f>
        <v>0</v>
      </c>
      <c r="G13" s="1">
        <f>COUNTIF(DT!K4:K1004,"1")</f>
        <v>1</v>
      </c>
      <c r="H13" s="1">
        <f>COUNTIF(DT!K4:K1004,"2")</f>
        <v>3</v>
      </c>
      <c r="I13" s="1">
        <f>COUNTIF(DT!K4:K1004,"3")</f>
        <v>1</v>
      </c>
      <c r="J13" s="28" t="str">
        <f>Results!H13</f>
        <v>Controllabilità</v>
      </c>
    </row>
    <row r="14" spans="1:11">
      <c r="A14" s="2">
        <v>12</v>
      </c>
      <c r="B14" s="1" t="str">
        <f>_xlfn.CONCAT(Results!G14,"/",Results!F14)</f>
        <v>male/bene</v>
      </c>
      <c r="C14" s="1">
        <f>COUNTIF(DT!L4:L1004,"-3")</f>
        <v>0</v>
      </c>
      <c r="D14" s="1">
        <f>COUNTIF(DT!L4:L1004,"-2")</f>
        <v>0</v>
      </c>
      <c r="E14" s="1">
        <f>COUNTIF(DT!L4:L1004,"-1")</f>
        <v>0</v>
      </c>
      <c r="F14" s="1">
        <f>COUNTIF(DT!L4:L1004,"0")</f>
        <v>0</v>
      </c>
      <c r="G14" s="1">
        <f>COUNTIF(DT!L4:L1004,"1")</f>
        <v>0</v>
      </c>
      <c r="H14" s="1">
        <f>COUNTIF(DT!L4:L1004,"2")</f>
        <v>3</v>
      </c>
      <c r="I14" s="1">
        <f>COUNTIF(DT!L4:L1004,"3")</f>
        <v>2</v>
      </c>
      <c r="J14" s="28" t="str">
        <f>Results!H14</f>
        <v>Attrattività</v>
      </c>
    </row>
    <row r="15" spans="1:11">
      <c r="A15" s="2">
        <v>13</v>
      </c>
      <c r="B15" s="1" t="str">
        <f>_xlfn.CONCAT(Results!F15,"/",Results!G15)</f>
        <v>complicato/facile</v>
      </c>
      <c r="C15" s="1">
        <f>COUNTIF(DT!M4:M1004,"-3")</f>
        <v>0</v>
      </c>
      <c r="D15" s="1">
        <f>COUNTIF(DT!M4:M1004,"-2")</f>
        <v>0</v>
      </c>
      <c r="E15" s="1">
        <f>COUNTIF(DT!M4:M1004,"-1")</f>
        <v>0</v>
      </c>
      <c r="F15" s="1">
        <f>COUNTIF(DT!M4:M1004,"0")</f>
        <v>2</v>
      </c>
      <c r="G15" s="1">
        <f>COUNTIF(DT!M4:M1004,"1")</f>
        <v>2</v>
      </c>
      <c r="H15" s="1">
        <f>COUNTIF(DT!M4:M1004,"2")</f>
        <v>0</v>
      </c>
      <c r="I15" s="1">
        <f>COUNTIF(DT!M4:M1004,"3")</f>
        <v>1</v>
      </c>
      <c r="J15" s="28" t="str">
        <f>Results!H15</f>
        <v>Apprendibilità</v>
      </c>
    </row>
    <row r="16" spans="1:11">
      <c r="A16" s="2">
        <v>14</v>
      </c>
      <c r="B16" s="1" t="str">
        <f>_xlfn.CONCAT(Results!F16,"/",Results!G16)</f>
        <v>repellente/attraente</v>
      </c>
      <c r="C16" s="1">
        <f>COUNTIF(DT!N4:N1004,"-3")</f>
        <v>0</v>
      </c>
      <c r="D16" s="1">
        <f>COUNTIF(DT!N4:N1004,"-2")</f>
        <v>0</v>
      </c>
      <c r="E16" s="1">
        <f>COUNTIF(DT!N4:N1004,"-1")</f>
        <v>0</v>
      </c>
      <c r="F16" s="1">
        <f>COUNTIF(DT!N4:N1004,"0")</f>
        <v>0</v>
      </c>
      <c r="G16" s="1">
        <f>COUNTIF(DT!N4:N1004,"1")</f>
        <v>0</v>
      </c>
      <c r="H16" s="1">
        <f>COUNTIF(DT!N4:N1004,"2")</f>
        <v>3</v>
      </c>
      <c r="I16" s="1">
        <f>COUNTIF(DT!N4:N1004,"3")</f>
        <v>2</v>
      </c>
      <c r="J16" s="28" t="str">
        <f>Results!H16</f>
        <v>Attrattività</v>
      </c>
    </row>
    <row r="17" spans="1:10">
      <c r="A17" s="2">
        <v>15</v>
      </c>
      <c r="B17" s="1" t="str">
        <f>_xlfn.CONCAT(Results!F17,"/",Results!G17)</f>
        <v>usuale/moderno</v>
      </c>
      <c r="C17" s="1">
        <f>COUNTIF(DT!O4:O1004,"-3")</f>
        <v>0</v>
      </c>
      <c r="D17" s="1">
        <f>COUNTIF(DT!O4:O1004,"-2")</f>
        <v>1</v>
      </c>
      <c r="E17" s="1">
        <f>COUNTIF(DT!O4:O1004,"-1")</f>
        <v>0</v>
      </c>
      <c r="F17" s="1">
        <f>COUNTIF(DT!O4:O1004,"0")</f>
        <v>0</v>
      </c>
      <c r="G17" s="1">
        <f>COUNTIF(DT!O4:O1004,"1")</f>
        <v>0</v>
      </c>
      <c r="H17" s="1">
        <f>COUNTIF(DT!O4:O1004,"2")</f>
        <v>2</v>
      </c>
      <c r="I17" s="1">
        <f>COUNTIF(DT!O4:O1004,"3")</f>
        <v>2</v>
      </c>
      <c r="J17" s="28" t="str">
        <f>Results!H17</f>
        <v>Originalità</v>
      </c>
    </row>
    <row r="18" spans="1:10">
      <c r="A18" s="2">
        <v>16</v>
      </c>
      <c r="B18" s="1" t="str">
        <f>_xlfn.CONCAT(Results!F18,"/",Results!G18)</f>
        <v>sgradevole/piacevole</v>
      </c>
      <c r="C18" s="1">
        <f>COUNTIF(DT!P4:P1004,"-3")</f>
        <v>0</v>
      </c>
      <c r="D18" s="1">
        <f>COUNTIF(DT!P4:P1004,"-2")</f>
        <v>0</v>
      </c>
      <c r="E18" s="1">
        <f>COUNTIF(DT!P4:P1004,"-1")</f>
        <v>0</v>
      </c>
      <c r="F18" s="1">
        <f>COUNTIF(DT!P4:P1004,"0")</f>
        <v>0</v>
      </c>
      <c r="G18" s="1">
        <f>COUNTIF(DT!P4:P1004,"1")</f>
        <v>0</v>
      </c>
      <c r="H18" s="1">
        <f>COUNTIF(DT!P4:P1004,"2")</f>
        <v>2</v>
      </c>
      <c r="I18" s="1">
        <f>COUNTIF(DT!P4:P1004,"3")</f>
        <v>3</v>
      </c>
      <c r="J18" s="28" t="str">
        <f>Results!H18</f>
        <v>Attrattività</v>
      </c>
    </row>
    <row r="19" spans="1:10">
      <c r="A19" s="2">
        <v>17</v>
      </c>
      <c r="B19" s="1" t="str">
        <f>_xlfn.CONCAT(Results!G19,"/",Results!F19)</f>
        <v>insicuro/sicuro</v>
      </c>
      <c r="C19" s="1">
        <f>COUNTIF(DT!Q4:Q1004,"-3")</f>
        <v>0</v>
      </c>
      <c r="D19" s="1">
        <f>COUNTIF(DT!Q4:Q1004,"-2")</f>
        <v>0</v>
      </c>
      <c r="E19" s="1">
        <f>COUNTIF(DT!Q4:Q1004,"-1")</f>
        <v>0</v>
      </c>
      <c r="F19" s="1">
        <f>COUNTIF(DT!Q4:Q1004,"0")</f>
        <v>0</v>
      </c>
      <c r="G19" s="1">
        <f>COUNTIF(DT!Q4:Q1004,"1")</f>
        <v>0</v>
      </c>
      <c r="H19" s="1">
        <f>COUNTIF(DT!Q4:Q1004,"2")</f>
        <v>3</v>
      </c>
      <c r="I19" s="1">
        <f>COUNTIF(DT!Q4:Q1004,"3")</f>
        <v>2</v>
      </c>
      <c r="J19" s="28" t="str">
        <f>Results!H19</f>
        <v>Controllabilità</v>
      </c>
    </row>
    <row r="20" spans="1:10">
      <c r="A20" s="2">
        <v>18</v>
      </c>
      <c r="B20" s="1" t="str">
        <f>_xlfn.CONCAT(Results!G20,"/",Results!F20)</f>
        <v>soporifero/attivante</v>
      </c>
      <c r="C20" s="1">
        <f>COUNTIF(DT!R4:R1004,"-3")</f>
        <v>0</v>
      </c>
      <c r="D20" s="1">
        <f>COUNTIF(DT!R4:R1004,"-2")</f>
        <v>0</v>
      </c>
      <c r="E20" s="1">
        <f>COUNTIF(DT!R4:R1004,"-1")</f>
        <v>0</v>
      </c>
      <c r="F20" s="1">
        <f>COUNTIF(DT!R4:R1004,"0")</f>
        <v>0</v>
      </c>
      <c r="G20" s="1">
        <f>COUNTIF(DT!R4:R1004,"1")</f>
        <v>2</v>
      </c>
      <c r="H20" s="1">
        <f>COUNTIF(DT!R4:R1004,"2")</f>
        <v>1</v>
      </c>
      <c r="I20" s="1">
        <f>COUNTIF(DT!R4:R1004,"3")</f>
        <v>2</v>
      </c>
      <c r="J20" s="29" t="str">
        <f>Results!H20</f>
        <v>Stimolazione</v>
      </c>
    </row>
    <row r="21" spans="1:10">
      <c r="A21" s="2">
        <v>19</v>
      </c>
      <c r="B21" s="1" t="str">
        <f>_xlfn.CONCAT(Results!G21,"/",Results!F21)</f>
        <v>non aspettativo/aspettativo</v>
      </c>
      <c r="C21" s="1">
        <f>COUNTIF(DT!S4:S1004,"-3")</f>
        <v>0</v>
      </c>
      <c r="D21" s="1">
        <f>COUNTIF(DT!S4:S1004,"-2")</f>
        <v>0</v>
      </c>
      <c r="E21" s="1">
        <f>COUNTIF(DT!S4:S1004,"-1")</f>
        <v>0</v>
      </c>
      <c r="F21" s="1">
        <f>COUNTIF(DT!S4:S1004,"0")</f>
        <v>0</v>
      </c>
      <c r="G21" s="1">
        <f>COUNTIF(DT!S4:S1004,"1")</f>
        <v>1</v>
      </c>
      <c r="H21" s="1">
        <f>COUNTIF(DT!S4:S1004,"2")</f>
        <v>0</v>
      </c>
      <c r="I21" s="1">
        <f>COUNTIF(DT!S4:S1004,"3")</f>
        <v>4</v>
      </c>
      <c r="J21" s="28" t="str">
        <f>Results!H21</f>
        <v>Controllabilità</v>
      </c>
    </row>
    <row r="22" spans="1:10">
      <c r="A22" s="2">
        <v>20</v>
      </c>
      <c r="B22" s="1" t="str">
        <f>_xlfn.CONCAT(Results!F22,"/",Results!G22)</f>
        <v>inefficiente/efficiente</v>
      </c>
      <c r="C22" s="1">
        <f>COUNTIF(DT!T4:T1004,"-3")</f>
        <v>0</v>
      </c>
      <c r="D22" s="1">
        <f>COUNTIF(DT!T4:T1004,"-2")</f>
        <v>0</v>
      </c>
      <c r="E22" s="1">
        <f>COUNTIF(DT!T4:T1004,"-1")</f>
        <v>0</v>
      </c>
      <c r="F22" s="1">
        <f>COUNTIF(DT!T4:T1004,"0")</f>
        <v>0</v>
      </c>
      <c r="G22" s="1">
        <f>COUNTIF(DT!T4:T1004,"1")</f>
        <v>1</v>
      </c>
      <c r="H22" s="1">
        <f>COUNTIF(DT!T4:T1004,"2")</f>
        <v>2</v>
      </c>
      <c r="I22" s="1">
        <f>COUNTIF(DT!T4:T1004,"3")</f>
        <v>2</v>
      </c>
      <c r="J22" s="28" t="str">
        <f>Results!H22</f>
        <v>Efficienca</v>
      </c>
    </row>
    <row r="23" spans="1:10">
      <c r="A23" s="6">
        <v>21</v>
      </c>
      <c r="B23" s="1" t="str">
        <f>_xlfn.CONCAT(Results!G23,"/",Results!F23)</f>
        <v>confuso/chiaro</v>
      </c>
      <c r="C23" s="1">
        <f>COUNTIF(DT!U4:U1004,"-3")</f>
        <v>0</v>
      </c>
      <c r="D23" s="1">
        <f>COUNTIF(DT!U4:U1004,"-2")</f>
        <v>0</v>
      </c>
      <c r="E23" s="1">
        <f>COUNTIF(DT!U4:U1004,"-1")</f>
        <v>0</v>
      </c>
      <c r="F23" s="1">
        <f>COUNTIF(DT!U4:U1004,"0")</f>
        <v>2</v>
      </c>
      <c r="G23" s="1">
        <f>COUNTIF(DT!U4:U1004,"1")</f>
        <v>0</v>
      </c>
      <c r="H23" s="1">
        <f>COUNTIF(DT!U4:U1004,"2")</f>
        <v>2</v>
      </c>
      <c r="I23" s="1">
        <f>COUNTIF(DT!U4:U1004,"3")</f>
        <v>1</v>
      </c>
      <c r="J23" s="28" t="str">
        <f>Results!H23</f>
        <v>Apprendibilità</v>
      </c>
    </row>
    <row r="24" spans="1:10">
      <c r="A24" s="6">
        <v>22</v>
      </c>
      <c r="B24" s="1" t="str">
        <f>_xlfn.CONCAT(Results!F24,"/",Results!G24)</f>
        <v>non pragmatico/pragmatico</v>
      </c>
      <c r="C24" s="1">
        <f>COUNTIF(DT!V4:V1004,"-3")</f>
        <v>0</v>
      </c>
      <c r="D24" s="1">
        <f>COUNTIF(DT!V4:V1004,"-2")</f>
        <v>0</v>
      </c>
      <c r="E24" s="1">
        <f>COUNTIF(DT!V4:V1004,"-1")</f>
        <v>0</v>
      </c>
      <c r="F24" s="1">
        <f>COUNTIF(DT!V4:V1004,"0")</f>
        <v>1</v>
      </c>
      <c r="G24" s="1">
        <f>COUNTIF(DT!V4:V1004,"1")</f>
        <v>0</v>
      </c>
      <c r="H24" s="1">
        <f>COUNTIF(DT!V4:V1004,"2")</f>
        <v>3</v>
      </c>
      <c r="I24" s="1">
        <f>COUNTIF(DT!V4:V1004,"3")</f>
        <v>1</v>
      </c>
      <c r="J24" s="28" t="str">
        <f>Results!H24</f>
        <v>Efficienca</v>
      </c>
    </row>
    <row r="25" spans="1:10">
      <c r="A25" s="6">
        <v>23</v>
      </c>
      <c r="B25" s="1" t="str">
        <f>_xlfn.CONCAT(Results!G25,"/",Results!F25)</f>
        <v>sovraccarico/ordinato</v>
      </c>
      <c r="C25" s="1">
        <f>COUNTIF(DT!W4:W1004,"-3")</f>
        <v>0</v>
      </c>
      <c r="D25" s="1">
        <f>COUNTIF(DT!W4:W1004,"-2")</f>
        <v>0</v>
      </c>
      <c r="E25" s="1">
        <f>COUNTIF(DT!W4:W1004,"-1")</f>
        <v>0</v>
      </c>
      <c r="F25" s="1">
        <f>COUNTIF(DT!W4:W1004,"0")</f>
        <v>0</v>
      </c>
      <c r="G25" s="1">
        <f>COUNTIF(DT!W4:W1004,"1")</f>
        <v>1</v>
      </c>
      <c r="H25" s="1">
        <f>COUNTIF(DT!W4:W1004,"2")</f>
        <v>3</v>
      </c>
      <c r="I25" s="1">
        <f>COUNTIF(DT!W4:W1004,"3")</f>
        <v>1</v>
      </c>
      <c r="J25" s="28" t="str">
        <f>Results!H25</f>
        <v>Efficienca</v>
      </c>
    </row>
    <row r="26" spans="1:10">
      <c r="A26" s="6">
        <v>24</v>
      </c>
      <c r="B26" s="1" t="str">
        <f>_xlfn.CONCAT(Results!G26,"/",Results!F26)</f>
        <v>non attrattivo/attrattivo</v>
      </c>
      <c r="C26" s="1">
        <f>COUNTIF(DT!X4:X1004,"-3")</f>
        <v>0</v>
      </c>
      <c r="D26" s="1">
        <f>COUNTIF(DT!X4:X1004,"-2")</f>
        <v>0</v>
      </c>
      <c r="E26" s="1">
        <f>COUNTIF(DT!X4:X1004,"-1")</f>
        <v>0</v>
      </c>
      <c r="F26" s="1">
        <f>COUNTIF(DT!X4:X1004,"0")</f>
        <v>0</v>
      </c>
      <c r="G26" s="1">
        <f>COUNTIF(DT!X4:X1004,"1")</f>
        <v>0</v>
      </c>
      <c r="H26" s="1">
        <f>COUNTIF(DT!X4:X1004,"2")</f>
        <v>2</v>
      </c>
      <c r="I26" s="1">
        <f>COUNTIF(DT!X4:X1004,"3")</f>
        <v>3</v>
      </c>
      <c r="J26" s="28" t="str">
        <f>Results!H26</f>
        <v>Attrattività</v>
      </c>
    </row>
    <row r="27" spans="1:10">
      <c r="A27" s="6">
        <v>25</v>
      </c>
      <c r="B27" s="1" t="str">
        <f>_xlfn.CONCAT(Results!G27,"/",Results!F27)</f>
        <v>antipatico/simpatico</v>
      </c>
      <c r="C27" s="1">
        <f>COUNTIF(DT!Y4:Y1004,"-3")</f>
        <v>0</v>
      </c>
      <c r="D27" s="1">
        <f>COUNTIF(DT!Y4:Y1004,"-2")</f>
        <v>0</v>
      </c>
      <c r="E27" s="1">
        <f>COUNTIF(DT!Y4:Y1004,"-1")</f>
        <v>0</v>
      </c>
      <c r="F27" s="1">
        <f>COUNTIF(DT!Y4:Y1004,"0")</f>
        <v>0</v>
      </c>
      <c r="G27" s="1">
        <f>COUNTIF(DT!Y4:Y1004,"1")</f>
        <v>3</v>
      </c>
      <c r="H27" s="1">
        <f>COUNTIF(DT!Y4:Y1004,"2")</f>
        <v>0</v>
      </c>
      <c r="I27" s="1">
        <f>COUNTIF(DT!Y4:Y1004,"3")</f>
        <v>2</v>
      </c>
      <c r="J27" s="28" t="str">
        <f>Results!H27</f>
        <v>Attrattività</v>
      </c>
    </row>
    <row r="28" spans="1:10">
      <c r="A28" s="6">
        <v>26</v>
      </c>
      <c r="B28" s="1" t="str">
        <f>_xlfn.CONCAT(Results!F28,"/",Results!G28)</f>
        <v>conservativo/innovativo</v>
      </c>
      <c r="C28" s="1">
        <f>COUNTIF(DT!Z4:Z1004,"-3")</f>
        <v>0</v>
      </c>
      <c r="D28" s="1">
        <f>COUNTIF(DT!Z4:Z1004,"-2")</f>
        <v>0</v>
      </c>
      <c r="E28" s="1">
        <f>COUNTIF(DT!Z4:Z1004,"-1")</f>
        <v>0</v>
      </c>
      <c r="F28" s="1">
        <f>COUNTIF(DT!Z4:Z1004,"0")</f>
        <v>0</v>
      </c>
      <c r="G28" s="1">
        <f>COUNTIF(DT!Z4:Z1004,"1")</f>
        <v>1</v>
      </c>
      <c r="H28" s="1">
        <f>COUNTIF(DT!Z4:Z1004,"2")</f>
        <v>2</v>
      </c>
      <c r="I28" s="1">
        <f>COUNTIF(DT!Z4:Z1004,"3")</f>
        <v>2</v>
      </c>
      <c r="J28" s="28" t="str">
        <f>Results!H28</f>
        <v>Originalità</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25" workbookViewId="0">
      <selection activeCell="E15" sqref="E15"/>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3" t="s">
        <v>1284</v>
      </c>
      <c r="B1" s="173"/>
      <c r="C1" s="173"/>
      <c r="D1" s="173"/>
      <c r="E1" s="173"/>
      <c r="F1" s="173"/>
      <c r="G1" s="173"/>
      <c r="H1" s="173"/>
      <c r="I1" s="173"/>
      <c r="J1" s="173"/>
      <c r="K1" s="173"/>
      <c r="L1" s="173"/>
      <c r="M1" s="173"/>
      <c r="N1" s="173"/>
      <c r="O1" s="173"/>
      <c r="P1" s="173"/>
      <c r="Q1" s="173"/>
      <c r="R1" s="173"/>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 customHeight="1">
      <c r="A3" s="174" t="s">
        <v>1471</v>
      </c>
      <c r="B3" s="172"/>
      <c r="C3" s="172"/>
      <c r="D3" s="172"/>
      <c r="E3" s="172"/>
      <c r="F3" s="172"/>
      <c r="G3" s="172"/>
      <c r="H3" s="172"/>
      <c r="I3" s="172"/>
      <c r="J3" s="172"/>
      <c r="K3" s="172"/>
      <c r="L3" s="172"/>
      <c r="M3" s="172"/>
      <c r="N3" s="172"/>
      <c r="O3" s="172"/>
      <c r="P3" s="172"/>
      <c r="Q3" s="172"/>
      <c r="R3" s="56"/>
    </row>
    <row r="5" spans="1:18">
      <c r="A5" s="157" t="str">
        <f>VLOOKUP(Read_First!B5,Items!A1:BI50,54,FALSE)</f>
        <v>Attrattività</v>
      </c>
      <c r="B5" s="157"/>
      <c r="D5" s="161" t="str">
        <f>VLOOKUP(Read_First!B5,Items!A1:BI50,55,FALSE)</f>
        <v>Apprendibilità</v>
      </c>
      <c r="E5" s="161"/>
      <c r="G5" s="161" t="str">
        <f>VLOOKUP(Read_First!B5,Items!A1:BI50,56,FALSE)</f>
        <v>Efficienca</v>
      </c>
      <c r="H5" s="161"/>
      <c r="J5" s="161" t="str">
        <f>VLOOKUP(Read_First!B5,Items!A1:BI50,57,FALSE)</f>
        <v>Controllabilità</v>
      </c>
      <c r="K5" s="161"/>
      <c r="M5" s="161" t="str">
        <f>VLOOKUP(Read_First!B5,Items!A1:BI50,58,FALSE)</f>
        <v>Stimolazione</v>
      </c>
      <c r="N5" s="161"/>
      <c r="P5" s="161" t="str">
        <f>VLOOKUP(Read_First!B5,Items!A1:BI50,59,FALSE)</f>
        <v>Originalità</v>
      </c>
      <c r="Q5" s="161"/>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-0.4900980294098034</v>
      </c>
      <c r="D7" s="94" t="s">
        <v>5</v>
      </c>
      <c r="E7" s="95">
        <f>CORREL(DT!B4:B1004,DT!D4:D1004)</f>
        <v>0.6939779183594883</v>
      </c>
      <c r="G7" s="94" t="s">
        <v>11</v>
      </c>
      <c r="H7" s="95">
        <f>CORREL(DT!I4:I1004,DT!T4:T1004)</f>
        <v>-3.6369648372665431E-2</v>
      </c>
      <c r="J7" s="94" t="s">
        <v>17</v>
      </c>
      <c r="K7" s="95">
        <f>CORREL(DT!H4:H1004,DT!K4:K1004)</f>
        <v>0.42257712736425823</v>
      </c>
      <c r="M7" s="94" t="s">
        <v>24</v>
      </c>
      <c r="N7" s="95">
        <f>CORREL(DT!E4:E1004,DT!F4:F1004)</f>
        <v>-0.21821789023599239</v>
      </c>
      <c r="P7" s="94" t="s">
        <v>34</v>
      </c>
      <c r="Q7" s="95">
        <f>CORREL(DT!C4:C1004,DT!J4:J1004)</f>
        <v>8.9087080637474794E-2</v>
      </c>
    </row>
    <row r="8" spans="1:18">
      <c r="A8" s="40" t="s">
        <v>37</v>
      </c>
      <c r="B8" s="41">
        <f>CORREL(DT!A4:A1004,DT!N4:N1004)</f>
        <v>0.21004201260420152</v>
      </c>
      <c r="D8" s="40" t="s">
        <v>6</v>
      </c>
      <c r="E8" s="41">
        <f>CORREL(DT!B4:B1004,DT!M4:M1004)</f>
        <v>0.8951435925492911</v>
      </c>
      <c r="G8" s="40" t="s">
        <v>12</v>
      </c>
      <c r="H8" s="41">
        <f>CORREL(DT!I4:I1004,DT!V4:V1004)</f>
        <v>0.58333333333333348</v>
      </c>
      <c r="J8" s="40" t="s">
        <v>18</v>
      </c>
      <c r="K8" s="41">
        <f>CORREL(DT!H4:H1004,DT!Q4:Q1004)</f>
        <v>-0.32732683535398854</v>
      </c>
      <c r="M8" s="40" t="s">
        <v>25</v>
      </c>
      <c r="N8" s="41">
        <f>CORREL(DT!E4:E1004,DT!G4:G1004)</f>
        <v>-0.40824829046386302</v>
      </c>
      <c r="P8" s="40" t="s">
        <v>33</v>
      </c>
      <c r="Q8" s="41">
        <f>CORREL(DT!C4:C1004,DT!O4:O1004)</f>
        <v>0.1411862416005035</v>
      </c>
    </row>
    <row r="9" spans="1:18">
      <c r="A9" s="40" t="s">
        <v>38</v>
      </c>
      <c r="B9" s="41">
        <f>CORREL(DT!A4:A1004,DT!P4:P1004)</f>
        <v>-0.56011203361120399</v>
      </c>
      <c r="D9" s="40" t="s">
        <v>7</v>
      </c>
      <c r="E9" s="41">
        <f>CORREL(DT!B4:B1004,DT!U4:U1004)</f>
        <v>0.84983658559879749</v>
      </c>
      <c r="G9" s="40" t="s">
        <v>13</v>
      </c>
      <c r="H9" s="41">
        <f>CORREL(DT!I4:I1004,DT!W4:W1004)</f>
        <v>0.86066296582387036</v>
      </c>
      <c r="J9" s="40" t="s">
        <v>19</v>
      </c>
      <c r="K9" s="41">
        <f>CORREL(DT!H4:H1004,DT!S4:S1004)</f>
        <v>-0.80178372573727308</v>
      </c>
      <c r="M9" s="40" t="s">
        <v>26</v>
      </c>
      <c r="N9" s="41">
        <f>CORREL(DT!E4:E1004,DT!R4:R1004)</f>
        <v>0.91287092917527701</v>
      </c>
      <c r="P9" s="40" t="s">
        <v>32</v>
      </c>
      <c r="Q9" s="41">
        <f>CORREL(DT!C4:C1004,DT!Z4:Z1004)</f>
        <v>-0.75817539657574573</v>
      </c>
    </row>
    <row r="10" spans="1:18">
      <c r="A10" s="40" t="s">
        <v>39</v>
      </c>
      <c r="B10" s="41">
        <f>CORREL(DT!A4:A1004,DT!X4:X1004)</f>
        <v>0.4900980294098034</v>
      </c>
      <c r="D10" s="40" t="s">
        <v>8</v>
      </c>
      <c r="E10" s="41">
        <f>CORREL(DT!D4:D1004,DT!M4:M1004)</f>
        <v>0.80757285308724835</v>
      </c>
      <c r="G10" s="40" t="s">
        <v>14</v>
      </c>
      <c r="H10" s="41">
        <f>CORREL(DT!T4:T1004,DT!V4:V1004)</f>
        <v>0.60009919814897927</v>
      </c>
      <c r="J10" s="40" t="s">
        <v>20</v>
      </c>
      <c r="K10" s="41">
        <f>CORREL(DT!K4:K1004,DT!Q4:Q1004)</f>
        <v>0.6454972243679028</v>
      </c>
      <c r="M10" s="40" t="s">
        <v>27</v>
      </c>
      <c r="N10" s="41">
        <f>CORREL(DT!F4:F1004,DT!G4:G1004)</f>
        <v>-0.1336306209562122</v>
      </c>
      <c r="P10" s="40" t="s">
        <v>31</v>
      </c>
      <c r="Q10" s="41">
        <f>CORREL(DT!J4:J1004,DT!O4:O1004)</f>
        <v>0.48424799847909322</v>
      </c>
    </row>
    <row r="11" spans="1:18">
      <c r="A11" s="40" t="s">
        <v>40</v>
      </c>
      <c r="B11" s="41">
        <f>CORREL(DT!A4:A1004,DT!Y4:Y1004)</f>
        <v>-0.4900980294098034</v>
      </c>
      <c r="D11" s="40" t="s">
        <v>9</v>
      </c>
      <c r="E11" s="41">
        <f>CORREL(DT!D4:D1004,DT!U4:U1004)</f>
        <v>0.9583727150068313</v>
      </c>
      <c r="G11" s="40" t="s">
        <v>15</v>
      </c>
      <c r="H11" s="41">
        <f>CORREL(DT!T4:T1004,DT!W4:W1004)</f>
        <v>-0.42257712736425834</v>
      </c>
      <c r="J11" s="40" t="s">
        <v>21</v>
      </c>
      <c r="K11" s="41">
        <f>CORREL(DT!K4:K1004,DT!S4:S1004)</f>
        <v>0</v>
      </c>
      <c r="M11" s="40" t="s">
        <v>28</v>
      </c>
      <c r="N11" s="41">
        <f>CORREL(DT!F4:F1004,DT!R4:R1004)</f>
        <v>-0.29880715233359845</v>
      </c>
      <c r="P11" s="40" t="s">
        <v>30</v>
      </c>
      <c r="Q11" s="41">
        <f>CORREL(DT!J4:J1004,DT!Z4:Z1004)</f>
        <v>-0.32732683535398871</v>
      </c>
    </row>
    <row r="12" spans="1:18">
      <c r="A12" s="40" t="s">
        <v>41</v>
      </c>
      <c r="B12" s="41">
        <f>CORREL(DT!L4:L1004,DT!N4:N1004)</f>
        <v>-0.66666666666666674</v>
      </c>
      <c r="D12" s="40" t="s">
        <v>10</v>
      </c>
      <c r="E12" s="41">
        <f>CORREL(DT!M4:M1004,DT!U4:U1004)</f>
        <v>0.9128709291752769</v>
      </c>
      <c r="G12" s="40" t="s">
        <v>16</v>
      </c>
      <c r="H12" s="41">
        <f>CORREL(DT!V4:V1004,DT!W4:W1004)</f>
        <v>0.3227486121839514</v>
      </c>
      <c r="J12" s="40" t="s">
        <v>22</v>
      </c>
      <c r="K12" s="41">
        <f>CORREL(DT!Q4:Q1004,DT!S4:S1004)</f>
        <v>0.40824829046386302</v>
      </c>
      <c r="M12" s="40" t="s">
        <v>23</v>
      </c>
      <c r="N12" s="41">
        <f>CORREL(DT!G4:G1004,DT!R4:R1004)</f>
        <v>0</v>
      </c>
      <c r="P12" s="40" t="s">
        <v>29</v>
      </c>
      <c r="Q12" s="41">
        <f>CORREL(DT!O4:O1004,DT!Z4:Z1004)</f>
        <v>5.7639041770423498E-2</v>
      </c>
    </row>
    <row r="13" spans="1:18">
      <c r="A13" s="40" t="s">
        <v>42</v>
      </c>
      <c r="B13" s="41">
        <f>CORREL(DT!L4:L1004,DT!P4:P1004)</f>
        <v>0.66666666666666674</v>
      </c>
      <c r="D13" s="42" t="s">
        <v>828</v>
      </c>
      <c r="E13" s="41">
        <f>AVERAGE(E7:E12)</f>
        <v>0.85296243229615554</v>
      </c>
      <c r="G13" s="42" t="s">
        <v>828</v>
      </c>
      <c r="H13" s="41">
        <f>AVERAGE(H7:H12)</f>
        <v>0.31798288895886845</v>
      </c>
      <c r="J13" s="42" t="s">
        <v>828</v>
      </c>
      <c r="K13" s="41">
        <f>AVERAGE(K7:K12)</f>
        <v>5.7868680184127073E-2</v>
      </c>
      <c r="M13" s="42" t="s">
        <v>828</v>
      </c>
      <c r="N13" s="41">
        <f>AVERAGE(N7:N12)</f>
        <v>-2.4338837469064834E-2</v>
      </c>
      <c r="P13" s="42" t="s">
        <v>828</v>
      </c>
      <c r="Q13" s="41">
        <f>AVERAGE(Q7:Q12)</f>
        <v>-5.2223644907039894E-2</v>
      </c>
    </row>
    <row r="14" spans="1:18">
      <c r="A14" s="40" t="s">
        <v>43</v>
      </c>
      <c r="B14" s="41">
        <f>CORREL(DT!L4:L1004,DT!X4:X1004)</f>
        <v>-0.16666666666666666</v>
      </c>
      <c r="C14" s="8"/>
      <c r="D14" s="57" t="s">
        <v>4</v>
      </c>
      <c r="E14" s="58">
        <f>(4*E13)/(1+(3*E13))</f>
        <v>0.9586843989602033</v>
      </c>
      <c r="F14" s="60"/>
      <c r="G14" s="57" t="s">
        <v>4</v>
      </c>
      <c r="H14" s="58">
        <f>(4*H13)/(1+(3*H13))</f>
        <v>0.65095443774818373</v>
      </c>
      <c r="I14" s="60"/>
      <c r="J14" s="57" t="s">
        <v>4</v>
      </c>
      <c r="K14" s="58">
        <f>(4*K13)/(1+(3*K13))</f>
        <v>0.19723375028605006</v>
      </c>
      <c r="L14" s="60"/>
      <c r="M14" s="57" t="s">
        <v>4</v>
      </c>
      <c r="N14" s="58">
        <f>(4*N13)/(1+(3*N13))</f>
        <v>-0.10502382316331449</v>
      </c>
      <c r="O14" s="59"/>
      <c r="P14" s="57" t="s">
        <v>4</v>
      </c>
      <c r="Q14" s="58">
        <f>(4*Q13)/(1+(3*Q13))</f>
        <v>-0.24770233616824328</v>
      </c>
    </row>
    <row r="15" spans="1:18">
      <c r="A15" s="40" t="s">
        <v>44</v>
      </c>
      <c r="B15" s="41">
        <f>CORREL(DT!L4:L1004,DT!Y4:Y1004)</f>
        <v>0.99999999999999989</v>
      </c>
      <c r="D15" s="178" t="s">
        <v>1470</v>
      </c>
      <c r="E15" s="146">
        <f>1-EXP(LN(1-E14)+1.96*SQRT(8/(3*(Results!E3-2))))</f>
        <v>0.73778995021718563</v>
      </c>
      <c r="F15" s="46"/>
      <c r="G15" s="178" t="s">
        <v>1470</v>
      </c>
      <c r="H15" s="146">
        <f>1-EXP(LN(1-H14)+1.96*SQRT(8/(3*(Results!E3-2))))</f>
        <v>-1.2152226265899078</v>
      </c>
      <c r="I15" s="46"/>
      <c r="J15" s="178" t="s">
        <v>1470</v>
      </c>
      <c r="K15" s="146">
        <f>1-EXP(LN(1-K14)+1.96*SQRT(8/(3*(Results!E3-2))))</f>
        <v>-4.0947674245063768</v>
      </c>
      <c r="L15" s="46"/>
      <c r="M15" s="178" t="s">
        <v>1470</v>
      </c>
      <c r="N15" s="146">
        <f>1-EXP(LN(1-N14)+1.96*SQRT(8/(3*(Results!E3-2))))</f>
        <v>-6.0130494145238824</v>
      </c>
      <c r="O15" s="46"/>
      <c r="P15" s="178" t="s">
        <v>1470</v>
      </c>
      <c r="Q15" s="146">
        <f>1-EXP(LN(1-Q14)+1.96*SQRT(8/(3*(Results!E3-2))))</f>
        <v>-6.9185606271508968</v>
      </c>
    </row>
    <row r="16" spans="1:18">
      <c r="A16" s="40" t="s">
        <v>45</v>
      </c>
      <c r="B16" s="41">
        <f>CORREL(DT!N4:N1004,DT!P4:P1004)</f>
        <v>-0.16666666666666666</v>
      </c>
      <c r="D16" s="179"/>
      <c r="E16" s="146">
        <f>1-EXP(LN(1-E14)-1.96*SQRT(8/(3*(Results!E3-2))))</f>
        <v>0.99349003254950174</v>
      </c>
      <c r="G16" s="179"/>
      <c r="H16" s="146">
        <f>1-EXP(LN(1-H14)-1.96*SQRT(8/(3*(Results!E3-2))))</f>
        <v>0.94500200428377046</v>
      </c>
      <c r="J16" s="179"/>
      <c r="K16" s="146">
        <f>1-EXP(LN(1-K14)-1.96*SQRT(8/(3*(Results!E3-2))))</f>
        <v>0.87351068302352619</v>
      </c>
      <c r="M16" s="179"/>
      <c r="N16" s="146">
        <f>1-EXP(LN(1-N14)-1.96*SQRT(8/(3*(Results!E3-2))))</f>
        <v>0.82588492143950376</v>
      </c>
      <c r="P16" s="179"/>
      <c r="Q16" s="146">
        <f>1-EXP(LN(1-Q14)-1.96*SQRT(8/(3*(Results!E3-2))))</f>
        <v>0.80340352331938703</v>
      </c>
    </row>
    <row r="17" spans="1:18">
      <c r="A17" s="40" t="s">
        <v>46</v>
      </c>
      <c r="B17" s="41">
        <f>CORREL(DT!N4:N1004,DT!X4:X1004)</f>
        <v>0.66666666666666674</v>
      </c>
    </row>
    <row r="18" spans="1:18">
      <c r="A18" s="40" t="s">
        <v>47</v>
      </c>
      <c r="B18" s="41">
        <f>CORREL(DT!N4:N1004,DT!Y4:Y1004)</f>
        <v>-0.66666666666666663</v>
      </c>
    </row>
    <row r="19" spans="1:18">
      <c r="A19" s="40" t="s">
        <v>48</v>
      </c>
      <c r="B19" s="41">
        <f>CORREL(DT!P4:P1004,DT!X4:X1004)</f>
        <v>0.16666666666666666</v>
      </c>
    </row>
    <row r="20" spans="1:18">
      <c r="A20" s="40" t="s">
        <v>116</v>
      </c>
      <c r="B20" s="41">
        <f>CORREL(DT!P4:P1004,DT!Y4:Y1004)</f>
        <v>0.66666666666666663</v>
      </c>
    </row>
    <row r="21" spans="1:18">
      <c r="A21" s="40" t="s">
        <v>35</v>
      </c>
      <c r="B21" s="41">
        <f>CORREL(DT!X4:X1004,DT!Y4:Y1004)</f>
        <v>-0.16666666666666666</v>
      </c>
    </row>
    <row r="22" spans="1:18">
      <c r="A22" s="42" t="s">
        <v>828</v>
      </c>
      <c r="B22" s="41">
        <f>AVERAGE(B7:B21)</f>
        <v>3.2877685527768492E-2</v>
      </c>
    </row>
    <row r="23" spans="1:18">
      <c r="A23" s="57" t="s">
        <v>4</v>
      </c>
      <c r="B23" s="58">
        <f>(6*B22)/(1+(5*B22))</f>
        <v>0.1694160715480735</v>
      </c>
    </row>
    <row r="24" spans="1:18">
      <c r="A24" s="178" t="s">
        <v>1470</v>
      </c>
      <c r="B24" s="146">
        <f>1-EXP(LN(1-B23)+1.96*SQRT(10/(5*(Results!E3-2))))</f>
        <v>-3.1152805175607767</v>
      </c>
    </row>
    <row r="25" spans="1:18" s="142" customFormat="1">
      <c r="A25" s="179"/>
      <c r="B25" s="146">
        <f>1-EXP(LN(1-B23)-1.96*SQRT(10/(5*(Results!E3-2))))</f>
        <v>0.83236387914291265</v>
      </c>
    </row>
    <row r="26" spans="1:18">
      <c r="A26" s="46"/>
      <c r="B26" s="46"/>
    </row>
    <row r="27" spans="1:18" ht="66.599999999999994" customHeight="1">
      <c r="A27" s="175" t="s">
        <v>1285</v>
      </c>
      <c r="B27" s="176"/>
      <c r="C27" s="176"/>
      <c r="D27" s="176"/>
      <c r="E27" s="176"/>
      <c r="F27" s="176"/>
      <c r="G27" s="176"/>
      <c r="H27" s="176"/>
      <c r="I27" s="176"/>
      <c r="J27" s="176"/>
      <c r="K27" s="176"/>
      <c r="L27" s="176"/>
      <c r="M27" s="176"/>
      <c r="N27" s="176"/>
      <c r="O27" s="176"/>
      <c r="P27" s="176"/>
      <c r="Q27" s="176"/>
      <c r="R27" s="176"/>
    </row>
    <row r="29" spans="1:18">
      <c r="A29" s="177" t="str">
        <f>VLOOKUP(Read_First!B5,Items!A1:BI50,54,FALSE)</f>
        <v>Attrattività</v>
      </c>
      <c r="B29" s="177"/>
      <c r="C29" s="46"/>
      <c r="D29" s="177" t="str">
        <f>VLOOKUP(Read_First!B5,Items!A1:BI50,55,FALSE)</f>
        <v>Apprendibilità</v>
      </c>
      <c r="E29" s="177"/>
      <c r="F29" s="46"/>
      <c r="G29" s="177" t="str">
        <f>VLOOKUP(Read_First!B5,Items!A1:BI50,56,FALSE)</f>
        <v>Efficienca</v>
      </c>
      <c r="H29" s="177"/>
      <c r="I29" s="46"/>
      <c r="J29" s="177" t="str">
        <f>VLOOKUP(Read_First!B5,Items!A1:BI50,57,FALSE)</f>
        <v>Controllabilità</v>
      </c>
      <c r="K29" s="177"/>
      <c r="L29" s="46"/>
      <c r="M29" s="177" t="e">
        <f>VLOOKUP(Read_First!B5,Items!A1:BI5,58,FALSE)</f>
        <v>#N/A</v>
      </c>
      <c r="N29" s="177"/>
      <c r="O29" s="46"/>
      <c r="P29" s="177" t="str">
        <f>VLOOKUP(Read_First!B5,Items!A1:BI55,59,FALSE)</f>
        <v>Originalità</v>
      </c>
      <c r="Q29" s="177"/>
    </row>
    <row r="30" spans="1:18">
      <c r="A30" s="53" t="s">
        <v>1283</v>
      </c>
      <c r="B30" s="53">
        <f>1-((Results!C3+Results!C14+Results!C16+Results!C18+Results!C26+Results!C27)/(36*(Results!M3)))</f>
        <v>-0.17142857142854928</v>
      </c>
      <c r="C30" s="46"/>
      <c r="D30" s="53" t="s">
        <v>1283</v>
      </c>
      <c r="E30" s="53">
        <f>1-((Results!C4+Results!C6+Results!C15+Results!C23)/(16*(Results!M4)))</f>
        <v>0.71604938271604945</v>
      </c>
      <c r="F30" s="46"/>
      <c r="G30" s="53" t="s">
        <v>1283</v>
      </c>
      <c r="H30" s="53">
        <f>1-((Results!C11+Results!C22+Results!C24+Results!C25)/(16*(Results!M5)))</f>
        <v>0.50000000000000011</v>
      </c>
      <c r="I30" s="46"/>
      <c r="J30" s="53" t="s">
        <v>1283</v>
      </c>
      <c r="K30" s="53">
        <f>1-((Results!C10+Results!C13+Results!C19+Results!C21)/(16*(Results!M6)))</f>
        <v>-4.5454545454544526E-2</v>
      </c>
      <c r="L30" s="46"/>
      <c r="M30" s="53" t="s">
        <v>1283</v>
      </c>
      <c r="N30" s="53">
        <f>1-((Results!C7+Results!C8+Results!C9+Results!C20)/(16*(Results!M7)))</f>
        <v>-0.12000000000000033</v>
      </c>
      <c r="O30" s="46"/>
      <c r="P30" s="53" t="s">
        <v>1283</v>
      </c>
      <c r="Q30" s="53">
        <f>1-((Results!C5+Results!C12+Results!C17+Results!C28)/(16*(Results!M8)))</f>
        <v>-2.1505376344086224E-2</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7.8399999999999984E-2</v>
      </c>
      <c r="D33" s="40" t="s">
        <v>5</v>
      </c>
      <c r="E33" s="41">
        <f>_xlfn.COVARIANCE.S(DT!B4:B1004,DT!D4:D1004)^2</f>
        <v>1.44</v>
      </c>
      <c r="G33" s="40" t="s">
        <v>11</v>
      </c>
      <c r="H33" s="41">
        <f>COVAR(DT!I4:I1004,DT!T4:T1004)^2</f>
        <v>1.6000000000000029E-3</v>
      </c>
      <c r="J33" s="40" t="s">
        <v>17</v>
      </c>
      <c r="K33" s="41">
        <f>COVAR(DT!H4:H1004,DT!K4:K1004)^2</f>
        <v>4.0000000000000008E-2</v>
      </c>
      <c r="M33" s="40" t="s">
        <v>24</v>
      </c>
      <c r="N33" s="41">
        <f>COVAR(DT!E4:E1004,DT!F4:F1004)^2</f>
        <v>6.4000000000000003E-3</v>
      </c>
      <c r="P33" s="40" t="s">
        <v>34</v>
      </c>
      <c r="Q33" s="41">
        <f>COVAR(DT!C4:C1004,DT!J4:J1004)^2</f>
        <v>6.4000000000000003E-3</v>
      </c>
    </row>
    <row r="34" spans="1:17">
      <c r="A34" s="40" t="s">
        <v>37</v>
      </c>
      <c r="B34" s="41">
        <f>COVAR(DT!A4:A1004,DT!N4:N1004)^2</f>
        <v>1.4400000000000005E-2</v>
      </c>
      <c r="D34" s="40" t="s">
        <v>6</v>
      </c>
      <c r="E34" s="41">
        <f>_xlfn.COVARIANCE.S(DT!B4:B1004,DT!M4:M1004)^2</f>
        <v>1.5625</v>
      </c>
      <c r="G34" s="40" t="s">
        <v>12</v>
      </c>
      <c r="H34" s="41">
        <f>COVAR(DT!I4:I1004,DT!V4:V1004)^2</f>
        <v>0.70560000000000034</v>
      </c>
      <c r="J34" s="40" t="s">
        <v>18</v>
      </c>
      <c r="K34" s="41">
        <f>COVAR(DT!H4:H1004,DT!Q4:Q1004)^2</f>
        <v>1.44E-2</v>
      </c>
      <c r="M34" s="40" t="s">
        <v>25</v>
      </c>
      <c r="N34" s="41">
        <f>COVAR(DT!E4:E1004,DT!G4:G1004)^2</f>
        <v>2.5600000000000001E-2</v>
      </c>
      <c r="P34" s="40" t="s">
        <v>33</v>
      </c>
      <c r="Q34" s="41">
        <f>COVAR(DT!C4:C1004,DT!O4:O1004)^2</f>
        <v>0.23039999999999999</v>
      </c>
    </row>
    <row r="35" spans="1:17">
      <c r="A35" s="40" t="s">
        <v>38</v>
      </c>
      <c r="B35" s="41">
        <f>COVAR(DT!A4:A1004,DT!P4:P1004)^2</f>
        <v>0.1024</v>
      </c>
      <c r="D35" s="40" t="s">
        <v>7</v>
      </c>
      <c r="E35" s="41">
        <f>_xlfn.COVARIANCE.S(DT!B4:B1004,DT!U4:U1004)^2</f>
        <v>1.6900000000000002</v>
      </c>
      <c r="G35" s="40" t="s">
        <v>13</v>
      </c>
      <c r="H35" s="41">
        <f>COVAR(DT!I4:I1004,DT!W4:W1004)^2</f>
        <v>0.64000000000000012</v>
      </c>
      <c r="J35" s="40" t="s">
        <v>19</v>
      </c>
      <c r="K35" s="41">
        <f>COVAR(DT!H4:H1004,DT!S4:S1004)^2</f>
        <v>0.23039999999999999</v>
      </c>
      <c r="M35" s="40" t="s">
        <v>26</v>
      </c>
      <c r="N35" s="41">
        <f>COVAR(DT!E4:E1004,DT!R4:R1004)^2</f>
        <v>0.16000000000000003</v>
      </c>
      <c r="P35" s="40" t="s">
        <v>32</v>
      </c>
      <c r="Q35" s="41">
        <f>COVAR(DT!C4:C1004,DT!Z4:Z1004)^2</f>
        <v>1.0816000000000006</v>
      </c>
    </row>
    <row r="36" spans="1:17">
      <c r="A36" s="40" t="s">
        <v>39</v>
      </c>
      <c r="B36" s="41">
        <f>COVAR(DT!A4:A1004,DT!X4:X1004)^2</f>
        <v>7.8399999999999984E-2</v>
      </c>
      <c r="D36" s="40" t="s">
        <v>8</v>
      </c>
      <c r="E36" s="41">
        <f>_xlfn.COVARIANCE.S(DT!D4:D1004,DT!M4:M1004)^2</f>
        <v>2.25</v>
      </c>
      <c r="G36" s="40" t="s">
        <v>14</v>
      </c>
      <c r="H36" s="41">
        <f>COVAR(DT!T4:T1004,DT!V4:V1004)^2</f>
        <v>0.19360000000000005</v>
      </c>
      <c r="J36" s="40" t="s">
        <v>20</v>
      </c>
      <c r="K36" s="41">
        <f>COVAR(DT!K4:K1004,DT!Q4:Q1004)^2</f>
        <v>4.0000000000000008E-2</v>
      </c>
      <c r="M36" s="40" t="s">
        <v>27</v>
      </c>
      <c r="N36" s="41">
        <f>COVAR(DT!F4:F1004,DT!G4:G1004)^2</f>
        <v>6.4000000000000003E-3</v>
      </c>
      <c r="P36" s="40" t="s">
        <v>31</v>
      </c>
      <c r="Q36" s="41">
        <f>COVAR(DT!J4:J1004,DT!O4:O1004)^2</f>
        <v>0.19360000000000005</v>
      </c>
    </row>
    <row r="37" spans="1:17">
      <c r="A37" s="40" t="s">
        <v>40</v>
      </c>
      <c r="B37" s="41">
        <f>COVAR(DT!A4:A1004,DT!Y4:Y1004)^2</f>
        <v>0.31359999999999993</v>
      </c>
      <c r="D37" s="40" t="s">
        <v>9</v>
      </c>
      <c r="E37" s="41">
        <f>_xlfn.COVARIANCE.S(DT!D4:D1004,DT!U4:U1004)^2</f>
        <v>3.8024999999999989</v>
      </c>
      <c r="G37" s="40" t="s">
        <v>15</v>
      </c>
      <c r="H37" s="41">
        <f>COVAR(DT!T4:T1004,DT!W4:W1004)^2</f>
        <v>4.0000000000000008E-2</v>
      </c>
      <c r="J37" s="40" t="s">
        <v>21</v>
      </c>
      <c r="K37" s="41">
        <f>COVAR(DT!K4:K1004,DT!S4:S1004)^2</f>
        <v>0</v>
      </c>
      <c r="M37" s="40" t="s">
        <v>28</v>
      </c>
      <c r="N37" s="41">
        <f>COVAR(DT!F4:F1004,DT!R4:R1004)^2</f>
        <v>4.0000000000000008E-2</v>
      </c>
      <c r="P37" s="40" t="s">
        <v>30</v>
      </c>
      <c r="Q37" s="41">
        <f>COVAR(DT!J4:J1004,DT!Z4:Z1004)^2</f>
        <v>1.4400000000000005E-2</v>
      </c>
    </row>
    <row r="38" spans="1:17">
      <c r="A38" s="40" t="s">
        <v>41</v>
      </c>
      <c r="B38" s="41">
        <f>COVAR(DT!L4:L1004,DT!N4:N1004)^2</f>
        <v>2.5600000000000001E-2</v>
      </c>
      <c r="D38" s="40" t="s">
        <v>10</v>
      </c>
      <c r="E38" s="41">
        <f>_xlfn.COVARIANCE.S(DT!M4:M1004,DT!U4:U1004)^2</f>
        <v>2.25</v>
      </c>
      <c r="G38" s="40" t="s">
        <v>16</v>
      </c>
      <c r="H38" s="41">
        <f>COVAR(DT!V4:V1004,DT!W4:W1004)^2</f>
        <v>4.0000000000000008E-2</v>
      </c>
      <c r="J38" s="40" t="s">
        <v>22</v>
      </c>
      <c r="K38" s="41">
        <f>COVAR(DT!Q4:Q1004,DT!S4:S1004)^2</f>
        <v>2.5600000000000001E-2</v>
      </c>
      <c r="M38" s="40" t="s">
        <v>23</v>
      </c>
      <c r="N38" s="41">
        <f>COVAR(DT!G4:G1004,DT!R4:R1004)^2</f>
        <v>0</v>
      </c>
      <c r="P38" s="40" t="s">
        <v>29</v>
      </c>
      <c r="Q38" s="41">
        <f>COVAR(DT!O4:O1004,DT!Z4:Z1004)^2</f>
        <v>6.3999999999999977E-3</v>
      </c>
    </row>
    <row r="39" spans="1:17">
      <c r="A39" s="40" t="s">
        <v>42</v>
      </c>
      <c r="B39" s="41">
        <f>COVAR(DT!L4:L1004,DT!P4:P1004)^2</f>
        <v>2.5600000000000001E-2</v>
      </c>
      <c r="D39" s="40" t="s">
        <v>1281</v>
      </c>
      <c r="E39" s="54">
        <f>SUM(E33:E38)</f>
        <v>12.994999999999999</v>
      </c>
      <c r="G39" s="40" t="s">
        <v>1281</v>
      </c>
      <c r="H39" s="54">
        <f>SUM(H33:H38)</f>
        <v>1.6208000000000005</v>
      </c>
      <c r="J39" s="40" t="s">
        <v>1281</v>
      </c>
      <c r="K39" s="54">
        <f>SUM(K33:K38)</f>
        <v>0.35039999999999999</v>
      </c>
      <c r="M39" s="40" t="s">
        <v>1281</v>
      </c>
      <c r="N39" s="54">
        <f>SUM(N33:N38)</f>
        <v>0.23840000000000003</v>
      </c>
      <c r="P39" s="40" t="s">
        <v>1281</v>
      </c>
      <c r="Q39" s="54">
        <f>SUM(Q33:Q38)</f>
        <v>1.5328000000000004</v>
      </c>
    </row>
    <row r="40" spans="1:17">
      <c r="A40" s="40" t="s">
        <v>43</v>
      </c>
      <c r="B40" s="41">
        <f>COVAR(DT!L4:L1004,DT!X4:X1004)^2</f>
        <v>1.5999999999999994E-3</v>
      </c>
      <c r="D40" s="42" t="s">
        <v>1282</v>
      </c>
      <c r="E40" s="52">
        <f>E30+SQRT((4/3)*2*E39)/(16*(Results!M4))</f>
        <v>0.95830074862650294</v>
      </c>
      <c r="G40" s="42" t="s">
        <v>1282</v>
      </c>
      <c r="H40" s="52">
        <f>H30+SQRT((4/3)*2*H39)/(16*(Results!M5))</f>
        <v>0.70382099078230564</v>
      </c>
      <c r="J40" s="42" t="s">
        <v>1282</v>
      </c>
      <c r="K40" s="52">
        <f>K30+SQRT((4/3)*2*K39)/(16*(Results!M6))</f>
        <v>0.3939289444943484</v>
      </c>
      <c r="M40" s="42" t="s">
        <v>1282</v>
      </c>
      <c r="N40" s="52">
        <f>N30+SQRT((4/3)*2*N39)/(16*(Results!M7))</f>
        <v>0.19893154960482218</v>
      </c>
      <c r="P40" s="42" t="s">
        <v>1282</v>
      </c>
      <c r="Q40" s="52">
        <f>Q30+SQRT((4/3)*2*Q39)/(16*(Results!M8))</f>
        <v>0.1958869266927582</v>
      </c>
    </row>
    <row r="41" spans="1:17">
      <c r="A41" s="40" t="s">
        <v>44</v>
      </c>
      <c r="B41" s="41">
        <f>COVAR(DT!L4:L1004,DT!Y4:Y1004)^2</f>
        <v>0.23039999999999999</v>
      </c>
    </row>
    <row r="42" spans="1:17">
      <c r="A42" s="40" t="s">
        <v>45</v>
      </c>
      <c r="B42" s="41">
        <f>COVAR(DT!N4:N1004,DT!P4:P1004)^2</f>
        <v>1.5999999999999994E-3</v>
      </c>
    </row>
    <row r="43" spans="1:17">
      <c r="A43" s="40" t="s">
        <v>46</v>
      </c>
      <c r="B43" s="41">
        <f>COVAR(DT!N4:N1004,DT!X4:X1004)^2</f>
        <v>2.5600000000000001E-2</v>
      </c>
    </row>
    <row r="44" spans="1:17">
      <c r="A44" s="40" t="s">
        <v>47</v>
      </c>
      <c r="B44" s="41">
        <f>COVAR(DT!N4:N1004,DT!Y4:Y1004)^2</f>
        <v>0.1024</v>
      </c>
    </row>
    <row r="45" spans="1:17">
      <c r="A45" s="40" t="s">
        <v>48</v>
      </c>
      <c r="B45" s="41">
        <f>COVAR(DT!P4:P1004,DT!X4:X1004)^2</f>
        <v>1.5999999999999994E-3</v>
      </c>
    </row>
    <row r="46" spans="1:17">
      <c r="A46" s="40" t="s">
        <v>116</v>
      </c>
      <c r="B46" s="41">
        <f>COVAR(DT!P4:P1004,DT!Y4:Y1004)^2</f>
        <v>0.1024</v>
      </c>
    </row>
    <row r="47" spans="1:17">
      <c r="A47" s="40" t="s">
        <v>35</v>
      </c>
      <c r="B47" s="41">
        <f>COVAR(DT!X4:X1004,DT!Y4:Y1004)^2</f>
        <v>6.4000000000000003E-3</v>
      </c>
    </row>
    <row r="48" spans="1:17">
      <c r="A48" s="40" t="s">
        <v>1281</v>
      </c>
      <c r="B48" s="54">
        <f>SUM(B33:B47)</f>
        <v>1.1103999999999998</v>
      </c>
    </row>
    <row r="49" spans="1:2">
      <c r="A49" s="42" t="s">
        <v>1282</v>
      </c>
      <c r="B49" s="52">
        <f>B30+SQRT((6/5)*2*B48)/(36*(Results!M3))</f>
        <v>0.29499157725933961</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tabSelected="1" workbookViewId="0">
      <selection activeCell="G7" sqref="G7"/>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74" t="s">
        <v>1537</v>
      </c>
      <c r="B1" s="180"/>
      <c r="C1" s="180"/>
      <c r="D1" s="180"/>
      <c r="E1" s="180"/>
      <c r="F1" s="180"/>
      <c r="G1" s="180"/>
      <c r="H1" s="180"/>
    </row>
    <row r="2" spans="1:8">
      <c r="A2" s="124" t="s">
        <v>110</v>
      </c>
      <c r="B2" s="125" t="s">
        <v>106</v>
      </c>
      <c r="C2" s="125" t="s">
        <v>120</v>
      </c>
      <c r="D2" s="125" t="s">
        <v>121</v>
      </c>
    </row>
    <row r="3" spans="1:8">
      <c r="A3" s="17" t="str">
        <f>VLOOKUP(Read_First!B5,Items!A1:BI50,54,FALSE)</f>
        <v>Attrattività</v>
      </c>
      <c r="B3" s="63">
        <f>Results!L3</f>
        <v>2.333333333333333</v>
      </c>
      <c r="C3" s="16" t="str">
        <f>IF(B3&gt;1.86,"Excellent",IF(B3&gt;1.6,"Good",IF(B3&gt;1.19,"Above average",IF(B3&gt;0.7,"Below average","Bad"))))</f>
        <v>Excellent</v>
      </c>
      <c r="D3" s="15" t="str">
        <f>IF(B3&gt;1.83,"In the range of the 10% best results",IF(B3&gt;1.56,"10% of results better, 75% of results worse",IF(B3&gt;1.17,"25% of results better, 50% of results worse",IF(B3&gt;0.7,"50% of results better, 25% of results worse","In the range of the 25% worst results"))))</f>
        <v>In the range of the 10% best results</v>
      </c>
    </row>
    <row r="4" spans="1:8">
      <c r="A4" s="17" t="str">
        <f>VLOOKUP(Read_First!B5,Items!A1:BI50,55,FALSE)</f>
        <v>Apprendibilità</v>
      </c>
      <c r="B4" s="63">
        <f>Results!L4</f>
        <v>1.35</v>
      </c>
      <c r="C4" s="16" t="str">
        <f>IF(B4&gt;2.03,"Excellent",IF(B4&gt;1.77,"Good",IF(B4&gt;1.25,"Above Average",IF(B4&gt;0.75,"Below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c r="A5" s="17" t="str">
        <f>VLOOKUP(Read_First!B5,Items!A1:BI50,56,FALSE)</f>
        <v>Efficienca</v>
      </c>
      <c r="B5" s="63">
        <f>Results!L5</f>
        <v>1.8</v>
      </c>
      <c r="C5" s="16" t="str">
        <f>IF(B5&gt;1.9,"Excellent",IF(B5&gt;1.5,"Good",IF(B5&gt;1.06,"Above Average",IF(B5&gt;0.6,"Below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c r="A6" s="18" t="str">
        <f>VLOOKUP(Read_First!B5,Items!A1:BI50,57,FALSE)</f>
        <v>Controllabilità</v>
      </c>
      <c r="B6" s="63">
        <f>Results!L6</f>
        <v>1.7</v>
      </c>
      <c r="C6" s="16" t="str">
        <f>IF(B6&gt;1.7,"Excellent",IF(B6&gt;1.47,"Good",IF(B6&gt;1.15,"Above Average",IF(B6&gt;0.78,"Below Average","Bad"))))</f>
        <v>Good</v>
      </c>
      <c r="D6" s="15" t="str">
        <f>IF(B6&gt;1.69,"In the range of the 10% best results",IF(B6&gt;1.46,"10% of results better, 75% of results worse",IF(B6&gt;1.13,"25% of results better, 50% of results worse",IF(B6&gt;0.77,"50% of results better, 25% of results worse","In the range of the 25% worst results"))))</f>
        <v>In the range of the 10% best results</v>
      </c>
    </row>
    <row r="7" spans="1:8">
      <c r="A7" s="18" t="str">
        <f>VLOOKUP(Read_First!B5,Items!A1:BI50,58,FALSE)</f>
        <v>Stimolazione</v>
      </c>
      <c r="B7" s="63">
        <f>Results!L7</f>
        <v>2</v>
      </c>
      <c r="C7" s="16" t="str">
        <f>IF(B7&gt;1.7,"Excellent",IF(B7&gt;1.35,"Good",IF(B7&gt;1,"Above Average",IF(B7&gt;0.5,"Below Average","Bad"))))</f>
        <v>Excellent</v>
      </c>
      <c r="D7" s="15" t="str">
        <f>IF(B7&gt;1.7,"In the range of the 10% best results",IF(B7&gt;1.34,"10% of results better, 75% of results worse",IF(B7&gt;1,"25% of results better, 50% of results worse",IF(B7&gt;0.5,"50% of results better, 25% of results worse","In the range of the 25% worst results"))))</f>
        <v>In the range of the 10% best results</v>
      </c>
    </row>
    <row r="8" spans="1:8">
      <c r="A8" s="17" t="str">
        <f>VLOOKUP(Read_First!B5,Items!A1:BI50,59,FALSE)</f>
        <v>Originalità</v>
      </c>
      <c r="B8" s="63">
        <f>Results!L8</f>
        <v>1.9</v>
      </c>
      <c r="C8" s="16" t="str">
        <f>IF(B8&gt;1.61,"Excellent",IF(B8&gt;1.14,"Good",IF(B8&gt;0.75,"Above Average",IF(B8&gt;0.25,"Below Average","Bad"))))</f>
        <v>Excellent</v>
      </c>
      <c r="D8" s="15" t="str">
        <f>IF(B8&gt;1.61,"In the range of the 10% best results",IF(B8&gt;1.12,"10% of results better, 75% of results worse",IF(B8&gt;0.77,"25% of results better, 50% of results worse",IF(B8&gt;0.25,"50% of results better, 25% of results worse","In the range of the 25% worst results"))))</f>
        <v>In the range of the 10% best results</v>
      </c>
    </row>
    <row r="26" spans="1:8">
      <c r="A26" s="181" t="s">
        <v>824</v>
      </c>
      <c r="B26" s="181"/>
      <c r="C26" s="181"/>
      <c r="D26" s="181"/>
      <c r="E26" s="181"/>
      <c r="F26" s="181"/>
      <c r="G26" s="181"/>
      <c r="H26" s="181"/>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Attrattività</v>
      </c>
      <c r="B28" s="35">
        <v>-1</v>
      </c>
      <c r="C28" s="36">
        <v>0.7</v>
      </c>
      <c r="D28" s="36">
        <v>0.49</v>
      </c>
      <c r="E28" s="36">
        <v>0.41</v>
      </c>
      <c r="F28" s="36">
        <v>0.26</v>
      </c>
      <c r="G28" s="36">
        <v>0.64</v>
      </c>
      <c r="H28" s="64">
        <f>Results!L3</f>
        <v>2.333333333333333</v>
      </c>
    </row>
    <row r="29" spans="1:8">
      <c r="A29" s="17" t="str">
        <f>VLOOKUP(Read_First!B5,Items!A1:BI50,55,FALSE)</f>
        <v>Apprendibilità</v>
      </c>
      <c r="B29" s="35">
        <v>-1</v>
      </c>
      <c r="C29" s="36">
        <v>0.75</v>
      </c>
      <c r="D29" s="36">
        <v>0.5</v>
      </c>
      <c r="E29" s="36">
        <v>0.52</v>
      </c>
      <c r="F29" s="36">
        <v>0.26</v>
      </c>
      <c r="G29" s="36">
        <v>0.47</v>
      </c>
      <c r="H29" s="64">
        <f>Results!L4</f>
        <v>1.35</v>
      </c>
    </row>
    <row r="30" spans="1:8">
      <c r="A30" s="17" t="str">
        <f>VLOOKUP(Read_First!B5,Items!A1:BI50,56,FALSE)</f>
        <v>Efficienca</v>
      </c>
      <c r="B30" s="35">
        <v>-1</v>
      </c>
      <c r="C30" s="36">
        <v>0.6</v>
      </c>
      <c r="D30" s="36">
        <v>0.44</v>
      </c>
      <c r="E30" s="36">
        <v>0.44</v>
      </c>
      <c r="F30" s="36">
        <v>0.4</v>
      </c>
      <c r="G30" s="36">
        <v>0.6</v>
      </c>
      <c r="H30" s="64">
        <f>Results!L5</f>
        <v>1.8</v>
      </c>
    </row>
    <row r="31" spans="1:8">
      <c r="A31" s="18" t="str">
        <f>VLOOKUP(Read_First!B5,Items!A1:BI50,57,FALSE)</f>
        <v>Controllabilità</v>
      </c>
      <c r="B31" s="35">
        <v>-1</v>
      </c>
      <c r="C31" s="36">
        <v>0.78</v>
      </c>
      <c r="D31" s="36">
        <v>0.37</v>
      </c>
      <c r="E31" s="36">
        <v>0.33</v>
      </c>
      <c r="F31" s="36">
        <v>0.23</v>
      </c>
      <c r="G31" s="36">
        <v>0.8</v>
      </c>
      <c r="H31" s="64">
        <f>Results!L6</f>
        <v>1.7</v>
      </c>
    </row>
    <row r="32" spans="1:8">
      <c r="A32" s="18" t="str">
        <f>VLOOKUP(Read_First!B5,Items!A1:BI50,58,FALSE)</f>
        <v>Stimolazione</v>
      </c>
      <c r="B32" s="35">
        <v>-1</v>
      </c>
      <c r="C32" s="36">
        <v>0.5</v>
      </c>
      <c r="D32" s="36">
        <v>0.5</v>
      </c>
      <c r="E32" s="36">
        <v>0.35</v>
      </c>
      <c r="F32" s="36">
        <v>0.35</v>
      </c>
      <c r="G32" s="36">
        <v>0.8</v>
      </c>
      <c r="H32" s="64">
        <f>Results!L7</f>
        <v>2</v>
      </c>
    </row>
    <row r="33" spans="1:8">
      <c r="A33" s="17" t="str">
        <f>VLOOKUP(Read_First!B5,Items!A1:BI50,59,FALSE)</f>
        <v>Originalità</v>
      </c>
      <c r="B33" s="35">
        <v>-1</v>
      </c>
      <c r="C33" s="36">
        <v>0.25</v>
      </c>
      <c r="D33" s="36">
        <v>0.5</v>
      </c>
      <c r="E33" s="36">
        <v>0.39</v>
      </c>
      <c r="F33" s="36">
        <v>0.47</v>
      </c>
      <c r="G33" s="36">
        <v>0.89</v>
      </c>
      <c r="H33" s="64">
        <f>Results!L8</f>
        <v>1.9</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5"/>
  <cols>
    <col min="1" max="26" width="3.7109375" style="1" customWidth="1"/>
    <col min="29" max="35" width="13.7109375" style="1" customWidth="1"/>
  </cols>
  <sheetData>
    <row r="1" spans="1:35" ht="192.75" customHeight="1">
      <c r="A1" s="158" t="s">
        <v>1291</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C1" s="37"/>
      <c r="AD1" s="38"/>
      <c r="AE1" s="38"/>
      <c r="AF1" s="38"/>
      <c r="AG1" s="38"/>
      <c r="AH1" s="39"/>
      <c r="AI1" s="1" t="s">
        <v>827</v>
      </c>
    </row>
    <row r="2" spans="1:35">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C2" s="157" t="s">
        <v>825</v>
      </c>
      <c r="AD2" s="157"/>
      <c r="AE2" s="157"/>
      <c r="AF2" s="157"/>
      <c r="AG2" s="157"/>
      <c r="AH2" s="157"/>
      <c r="AI2" s="157"/>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Attrattività</v>
      </c>
      <c r="AD3" s="113" t="str">
        <f>VLOOKUP(Read_First!B5,Items!A1:BI50,55,FALSE)</f>
        <v>Apprendibilità</v>
      </c>
      <c r="AE3" s="113" t="str">
        <f>VLOOKUP(Read_First!B5,Items!A1:BI50,56,FALSE)</f>
        <v>Efficienca</v>
      </c>
      <c r="AF3" s="114" t="str">
        <f>VLOOKUP(Read_First!B5,Items!A1:BI50,57,FALSE)</f>
        <v>Controllabilità</v>
      </c>
      <c r="AG3" s="114" t="str">
        <f>VLOOKUP(Read_First!B5,Items!A1:BI50,58,FALSE)</f>
        <v>Stimolazione</v>
      </c>
      <c r="AH3" s="114" t="str">
        <f>VLOOKUP(Read_First!B5,Items!A1:BI50,59,FALSE)</f>
        <v>Originalità</v>
      </c>
      <c r="AI3" s="126" t="s">
        <v>826</v>
      </c>
    </row>
    <row r="4" spans="1:35">
      <c r="A4" s="68">
        <f>IF(Data!A4&gt;0,Data!A4-4,"")</f>
        <v>3</v>
      </c>
      <c r="B4" s="68">
        <f>IF(Data!B4&gt;0,Data!B4-4,"")</f>
        <v>2</v>
      </c>
      <c r="C4" s="68">
        <f>IF(Data!C4&gt;0,4-Data!C4,"")</f>
        <v>-2</v>
      </c>
      <c r="D4" s="68">
        <f>IF(Data!D4&gt;0,4-Data!D4,"")</f>
        <v>2</v>
      </c>
      <c r="E4" s="68">
        <f>IF(Data!E4&gt;0,4-Data!E4,"")</f>
        <v>2</v>
      </c>
      <c r="F4" s="68">
        <f>IF(Data!F4&gt;0,Data!F4-4,"")</f>
        <v>1</v>
      </c>
      <c r="G4" s="68">
        <f>IF(Data!G4&gt;0,Data!G4-4,"")</f>
        <v>3</v>
      </c>
      <c r="H4" s="68">
        <f>IF(Data!H4&gt;0,Data!H4-4,"")</f>
        <v>0</v>
      </c>
      <c r="I4" s="68">
        <f>IF(Data!I4&gt;0,4-Data!I4,"")</f>
        <v>2</v>
      </c>
      <c r="J4" s="68">
        <f>IF(Data!J4&gt;0,4-Data!J4,"")</f>
        <v>3</v>
      </c>
      <c r="K4" s="68">
        <f>IF(Data!K4&gt;0,Data!K4-4,"")</f>
        <v>2</v>
      </c>
      <c r="L4" s="68">
        <f>IF(Data!L4&gt;0,4-Data!L4,"")</f>
        <v>3</v>
      </c>
      <c r="M4" s="68">
        <f>IF(Data!M4&gt;0,Data!M4-4,"")</f>
        <v>1</v>
      </c>
      <c r="N4" s="68">
        <f>IF(Data!N4&gt;0,Data!N4-4,"")</f>
        <v>2</v>
      </c>
      <c r="O4" s="68">
        <f>IF(Data!O4&gt;0,Data!O4-4,"")</f>
        <v>2</v>
      </c>
      <c r="P4" s="68">
        <f>IF(Data!P4&gt;0,Data!P4-4,"")</f>
        <v>3</v>
      </c>
      <c r="Q4" s="68">
        <f>IF(Data!Q4&gt;0,4-Data!Q4,"")</f>
        <v>2</v>
      </c>
      <c r="R4" s="1">
        <f>IF(Data!R4&gt;0,4-Data!R4,"")</f>
        <v>3</v>
      </c>
      <c r="S4" s="68">
        <f>IF(Data!S4&gt;0,4-Data!S4,"")</f>
        <v>3</v>
      </c>
      <c r="T4" s="68">
        <f>IF(Data!T4&gt;0,Data!T4-4,"")</f>
        <v>2</v>
      </c>
      <c r="U4" s="68">
        <f>IF(Data!U4&gt;0,4-Data!U4,"")</f>
        <v>2</v>
      </c>
      <c r="V4" s="68">
        <f>IF(Data!V4&gt;0,Data!V4-4,"")</f>
        <v>2</v>
      </c>
      <c r="W4" s="68">
        <f>IF(Data!W4&gt;0,4-Data!W4,"")</f>
        <v>2</v>
      </c>
      <c r="X4" s="68">
        <f>IF(Data!X4&gt;0,4-Data!X4,"")</f>
        <v>3</v>
      </c>
      <c r="Y4" s="68">
        <f>IF(Data!Y4&gt;0,4-Data!Y4,"")</f>
        <v>3</v>
      </c>
      <c r="Z4" s="68">
        <f>IF(Data!Z4&gt;0,Data!Z4-4,"")</f>
        <v>3</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f t="shared" ref="AH4" si="3">IF((MAX(C4,J4,O4,Z4)-MIN(C4,J4,O4,Z4))&gt;3,1,"")</f>
        <v>1</v>
      </c>
      <c r="AI4" s="71">
        <f>IF(COUNT(A4:Z4)&gt;0,IF(COUNT(AC4,AD4,AE4,AF4,AG4,AH4)&gt;0,SUM(AC4,AD4,AE4,AF4,AG4,AH4),0),"")</f>
        <v>1</v>
      </c>
    </row>
    <row r="5" spans="1:35">
      <c r="A5" s="1">
        <f>IF(Data!A5&gt;0,Data!A5-4,"")</f>
        <v>3</v>
      </c>
      <c r="B5" s="1">
        <f>IF(Data!B5&gt;0,Data!B5-4,"")</f>
        <v>1</v>
      </c>
      <c r="C5" s="1">
        <f>IF(Data!C5&gt;0,4-Data!C5,"")</f>
        <v>1</v>
      </c>
      <c r="D5" s="1">
        <f>IF(Data!D5&gt;0,4-Data!D5,"")</f>
        <v>3</v>
      </c>
      <c r="E5" s="1">
        <f>IF(Data!E5&gt;0,4-Data!E5,"")</f>
        <v>1</v>
      </c>
      <c r="F5" s="1">
        <f>IF(Data!F5&gt;0,Data!F5-4,"")</f>
        <v>3</v>
      </c>
      <c r="G5" s="1">
        <f>IF(Data!G5&gt;0,Data!G5-4,"")</f>
        <v>3</v>
      </c>
      <c r="H5" s="1">
        <f>IF(Data!H5&gt;0,Data!H5-4,"")</f>
        <v>0</v>
      </c>
      <c r="I5" s="1">
        <f>IF(Data!I5&gt;0,4-Data!I5,"")</f>
        <v>2</v>
      </c>
      <c r="J5" s="1">
        <f>IF(Data!J5&gt;0,4-Data!J5,"")</f>
        <v>2</v>
      </c>
      <c r="K5" s="1">
        <f>IF(Data!K5&gt;0,Data!K5-4,"")</f>
        <v>3</v>
      </c>
      <c r="L5" s="1">
        <f>IF(Data!L5&gt;0,4-Data!L5,"")</f>
        <v>2</v>
      </c>
      <c r="M5" s="1">
        <f>IF(Data!M5&gt;0,Data!M5-4,"")</f>
        <v>1</v>
      </c>
      <c r="N5" s="1">
        <f>IF(Data!N5&gt;0,Data!N5-4,"")</f>
        <v>3</v>
      </c>
      <c r="O5" s="1">
        <f>IF(Data!O5&gt;0,Data!O5-4,"")</f>
        <v>3</v>
      </c>
      <c r="P5" s="1">
        <f>IF(Data!P5&gt;0,Data!P5-4,"")</f>
        <v>2</v>
      </c>
      <c r="Q5" s="1">
        <f>IF(Data!Q5&gt;0,4-Data!Q5,"")</f>
        <v>3</v>
      </c>
      <c r="R5" s="1">
        <f>IF(Data!R5&gt;0,4-Data!R5,"")</f>
        <v>1</v>
      </c>
      <c r="S5" s="1">
        <f>IF(Data!S5&gt;0,4-Data!S5,"")</f>
        <v>3</v>
      </c>
      <c r="T5" s="1">
        <f>IF(Data!T5&gt;0,Data!T5-4,"")</f>
        <v>3</v>
      </c>
      <c r="U5" s="1">
        <f>IF(Data!U5&gt;0,4-Data!U5,"")</f>
        <v>2</v>
      </c>
      <c r="V5" s="1">
        <f>IF(Data!V5&gt;0,Data!V5-4,"")</f>
        <v>2</v>
      </c>
      <c r="W5" s="1">
        <f>IF(Data!W5&gt;0,4-Data!W5,"")</f>
        <v>2</v>
      </c>
      <c r="X5" s="1">
        <f>IF(Data!X5&gt;0,4-Data!X5,"")</f>
        <v>3</v>
      </c>
      <c r="Y5" s="1">
        <f>IF(Data!Y5&gt;0,4-Data!Y5,"")</f>
        <v>1</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2</v>
      </c>
      <c r="B6" s="1">
        <f>IF(Data!B6&gt;0,Data!B6-4,"")</f>
        <v>0</v>
      </c>
      <c r="C6" s="1">
        <f>IF(Data!C6&gt;0,4-Data!C6,"")</f>
        <v>3</v>
      </c>
      <c r="D6" s="1">
        <f>IF(Data!D6&gt;0,4-Data!D6,"")</f>
        <v>0</v>
      </c>
      <c r="E6" s="1">
        <f>IF(Data!E6&gt;0,4-Data!E6,"")</f>
        <v>1</v>
      </c>
      <c r="F6" s="1">
        <f>IF(Data!F6&gt;0,Data!F6-4,"")</f>
        <v>1</v>
      </c>
      <c r="G6" s="1">
        <f>IF(Data!G6&gt;0,Data!G6-4,"")</f>
        <v>3</v>
      </c>
      <c r="H6" s="1">
        <f>IF(Data!H6&gt;0,Data!H6-4,"")</f>
        <v>-1</v>
      </c>
      <c r="I6" s="1">
        <f>IF(Data!I6&gt;0,4-Data!I6,"")</f>
        <v>0</v>
      </c>
      <c r="J6" s="1">
        <f>IF(Data!J6&gt;0,4-Data!J6,"")</f>
        <v>3</v>
      </c>
      <c r="K6" s="1">
        <f>IF(Data!K6&gt;0,Data!K6-4,"")</f>
        <v>1</v>
      </c>
      <c r="L6" s="1">
        <f>IF(Data!L6&gt;0,4-Data!L6,"")</f>
        <v>2</v>
      </c>
      <c r="M6" s="1">
        <f>IF(Data!M6&gt;0,Data!M6-4,"")</f>
        <v>0</v>
      </c>
      <c r="N6" s="1">
        <f>IF(Data!N6&gt;0,Data!N6-4,"")</f>
        <v>3</v>
      </c>
      <c r="O6" s="1">
        <f>IF(Data!O6&gt;0,Data!O6-4,"")</f>
        <v>3</v>
      </c>
      <c r="P6" s="1">
        <f>IF(Data!P6&gt;0,Data!P6-4,"")</f>
        <v>3</v>
      </c>
      <c r="Q6" s="1">
        <f>IF(Data!Q6&gt;0,4-Data!Q6,"")</f>
        <v>2</v>
      </c>
      <c r="R6" s="1">
        <f>IF(Data!R6&gt;0,4-Data!R6,"")</f>
        <v>1</v>
      </c>
      <c r="S6" s="1">
        <f>IF(Data!S6&gt;0,4-Data!S6,"")</f>
        <v>3</v>
      </c>
      <c r="T6" s="1">
        <f>IF(Data!T6&gt;0,Data!T6-4,"")</f>
        <v>1</v>
      </c>
      <c r="U6" s="1">
        <f>IF(Data!U6&gt;0,4-Data!U6,"")</f>
        <v>0</v>
      </c>
      <c r="V6" s="1">
        <f>IF(Data!V6&gt;0,Data!V6-4,"")</f>
        <v>0</v>
      </c>
      <c r="W6" s="1">
        <f>IF(Data!W6&gt;0,4-Data!W6,"")</f>
        <v>2</v>
      </c>
      <c r="X6" s="1">
        <f>IF(Data!X6&gt;0,4-Data!X6,"")</f>
        <v>3</v>
      </c>
      <c r="Y6" s="1">
        <f>IF(Data!Y6&gt;0,4-Data!Y6,"")</f>
        <v>1</v>
      </c>
      <c r="Z6" s="1">
        <f>IF(Data!Z6&gt;0,Data!Z6-4,"")</f>
        <v>1</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3</v>
      </c>
      <c r="B7" s="1">
        <f>IF(Data!B7&gt;0,Data!B7-4,"")</f>
        <v>3</v>
      </c>
      <c r="C7" s="1">
        <f>IF(Data!C7&gt;0,4-Data!C7,"")</f>
        <v>3</v>
      </c>
      <c r="D7" s="1">
        <f>IF(Data!D7&gt;0,4-Data!D7,"")</f>
        <v>3</v>
      </c>
      <c r="E7" s="1">
        <f>IF(Data!E7&gt;0,4-Data!E7,"")</f>
        <v>2</v>
      </c>
      <c r="F7" s="1">
        <f>IF(Data!F7&gt;0,Data!F7-4,"")</f>
        <v>2</v>
      </c>
      <c r="G7" s="1">
        <f>IF(Data!G7&gt;0,Data!G7-4,"")</f>
        <v>1</v>
      </c>
      <c r="H7" s="1">
        <f>IF(Data!H7&gt;0,Data!H7-4,"")</f>
        <v>-1</v>
      </c>
      <c r="I7" s="1">
        <f>IF(Data!I7&gt;0,4-Data!I7,"")</f>
        <v>3</v>
      </c>
      <c r="J7" s="1">
        <f>IF(Data!J7&gt;0,4-Data!J7,"")</f>
        <v>3</v>
      </c>
      <c r="K7" s="1">
        <f>IF(Data!K7&gt;0,Data!K7-4,"")</f>
        <v>2</v>
      </c>
      <c r="L7" s="1">
        <f>IF(Data!L7&gt;0,4-Data!L7,"")</f>
        <v>2</v>
      </c>
      <c r="M7" s="1">
        <f>IF(Data!M7&gt;0,Data!M7-4,"")</f>
        <v>3</v>
      </c>
      <c r="N7" s="1">
        <f>IF(Data!N7&gt;0,Data!N7-4,"")</f>
        <v>2</v>
      </c>
      <c r="O7" s="1">
        <f>IF(Data!O7&gt;0,Data!O7-4,"")</f>
        <v>2</v>
      </c>
      <c r="P7" s="1">
        <f>IF(Data!P7&gt;0,Data!P7-4,"")</f>
        <v>2</v>
      </c>
      <c r="Q7" s="1">
        <f>IF(Data!Q7&gt;0,4-Data!Q7,"")</f>
        <v>3</v>
      </c>
      <c r="R7" s="1">
        <f>IF(Data!R7&gt;0,4-Data!R7,"")</f>
        <v>2</v>
      </c>
      <c r="S7" s="1">
        <f>IF(Data!S7&gt;0,4-Data!S7,"")</f>
        <v>3</v>
      </c>
      <c r="T7" s="1">
        <f>IF(Data!T7&gt;0,Data!T7-4,"")</f>
        <v>2</v>
      </c>
      <c r="U7" s="1">
        <f>IF(Data!U7&gt;0,4-Data!U7,"")</f>
        <v>3</v>
      </c>
      <c r="V7" s="1">
        <f>IF(Data!V7&gt;0,Data!V7-4,"")</f>
        <v>3</v>
      </c>
      <c r="W7" s="1">
        <f>IF(Data!W7&gt;0,4-Data!W7,"")</f>
        <v>3</v>
      </c>
      <c r="X7" s="1">
        <f>IF(Data!X7&gt;0,4-Data!X7,"")</f>
        <v>2</v>
      </c>
      <c r="Y7" s="1">
        <f>IF(Data!Y7&gt;0,4-Data!Y7,"")</f>
        <v>1</v>
      </c>
      <c r="Z7" s="1">
        <f>IF(Data!Z7&gt;0,Data!Z7-4,"")</f>
        <v>2</v>
      </c>
      <c r="AC7" s="4" t="str">
        <f t="shared" si="4"/>
        <v/>
      </c>
      <c r="AD7" s="4" t="str">
        <f t="shared" si="5"/>
        <v/>
      </c>
      <c r="AE7" s="4" t="str">
        <f t="shared" si="6"/>
        <v/>
      </c>
      <c r="AF7" s="4">
        <f t="shared" si="7"/>
        <v>1</v>
      </c>
      <c r="AG7" s="4" t="str">
        <f t="shared" si="8"/>
        <v/>
      </c>
      <c r="AH7" s="4" t="str">
        <f t="shared" si="9"/>
        <v/>
      </c>
      <c r="AI7" s="2">
        <f t="shared" si="10"/>
        <v>1</v>
      </c>
    </row>
    <row r="8" spans="1:35">
      <c r="A8" s="1">
        <f>IF(Data!A8&gt;0,Data!A8-4,"")</f>
        <v>0</v>
      </c>
      <c r="B8" s="1">
        <f>IF(Data!B8&gt;0,Data!B8-4,"")</f>
        <v>1</v>
      </c>
      <c r="C8" s="1">
        <f>IF(Data!C8&gt;0,4-Data!C8,"")</f>
        <v>1</v>
      </c>
      <c r="D8" s="1">
        <f>IF(Data!D8&gt;0,4-Data!D8,"")</f>
        <v>0</v>
      </c>
      <c r="E8" s="1">
        <f>IF(Data!E8&gt;0,4-Data!E8,"")</f>
        <v>2</v>
      </c>
      <c r="F8" s="1">
        <f>IF(Data!F8&gt;0,Data!F8-4,"")</f>
        <v>2</v>
      </c>
      <c r="G8" s="1">
        <f>IF(Data!G8&gt;0,Data!G8-4,"")</f>
        <v>3</v>
      </c>
      <c r="H8" s="1">
        <f>IF(Data!H8&gt;0,Data!H8-4,"")</f>
        <v>1</v>
      </c>
      <c r="I8" s="1">
        <f>IF(Data!I8&gt;0,4-Data!I8,"")</f>
        <v>-1</v>
      </c>
      <c r="J8" s="1">
        <f>IF(Data!J8&gt;0,4-Data!J8,"")</f>
        <v>2</v>
      </c>
      <c r="K8" s="1">
        <f>IF(Data!K8&gt;0,Data!K8-4,"")</f>
        <v>2</v>
      </c>
      <c r="L8" s="1">
        <f>IF(Data!L8&gt;0,4-Data!L8,"")</f>
        <v>3</v>
      </c>
      <c r="M8" s="1">
        <f>IF(Data!M8&gt;0,Data!M8-4,"")</f>
        <v>0</v>
      </c>
      <c r="N8" s="1">
        <f>IF(Data!N8&gt;0,Data!N8-4,"")</f>
        <v>2</v>
      </c>
      <c r="O8" s="1">
        <f>IF(Data!O8&gt;0,Data!O8-4,"")</f>
        <v>-2</v>
      </c>
      <c r="P8" s="1">
        <f>IF(Data!P8&gt;0,Data!P8-4,"")</f>
        <v>3</v>
      </c>
      <c r="Q8" s="1">
        <f>IF(Data!Q8&gt;0,4-Data!Q8,"")</f>
        <v>2</v>
      </c>
      <c r="R8" s="1">
        <f>IF(Data!R8&gt;0,4-Data!R8,"")</f>
        <v>3</v>
      </c>
      <c r="S8" s="1">
        <f>IF(Data!S8&gt;0,4-Data!S8,"")</f>
        <v>1</v>
      </c>
      <c r="T8" s="1">
        <f>IF(Data!T8&gt;0,Data!T8-4,"")</f>
        <v>3</v>
      </c>
      <c r="U8" s="1">
        <f>IF(Data!U8&gt;0,4-Data!U8,"")</f>
        <v>0</v>
      </c>
      <c r="V8" s="1">
        <f>IF(Data!V8&gt;0,Data!V8-4,"")</f>
        <v>2</v>
      </c>
      <c r="W8" s="1">
        <f>IF(Data!W8&gt;0,4-Data!W8,"")</f>
        <v>1</v>
      </c>
      <c r="X8" s="1">
        <f>IF(Data!X8&gt;0,4-Data!X8,"")</f>
        <v>2</v>
      </c>
      <c r="Y8" s="1">
        <f>IF(Data!Y8&gt;0,4-Data!Y8,"")</f>
        <v>3</v>
      </c>
      <c r="Z8" s="1">
        <f>IF(Data!Z8&gt;0,Data!Z8-4,"")</f>
        <v>2</v>
      </c>
      <c r="AC8" s="4" t="str">
        <f t="shared" si="4"/>
        <v/>
      </c>
      <c r="AD8" s="4" t="str">
        <f t="shared" si="5"/>
        <v/>
      </c>
      <c r="AE8" s="4">
        <f t="shared" si="6"/>
        <v>1</v>
      </c>
      <c r="AF8" s="4" t="str">
        <f t="shared" si="7"/>
        <v/>
      </c>
      <c r="AG8" s="4" t="str">
        <f t="shared" si="8"/>
        <v/>
      </c>
      <c r="AH8" s="4">
        <f t="shared" si="9"/>
        <v>1</v>
      </c>
      <c r="AI8" s="2">
        <f t="shared" si="10"/>
        <v>2</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82" t="s">
        <v>831</v>
      </c>
      <c r="B1" s="182"/>
      <c r="C1" s="182"/>
      <c r="D1" s="182"/>
      <c r="E1" s="182"/>
      <c r="F1" s="182"/>
      <c r="G1" s="182"/>
    </row>
    <row r="2" spans="1:7" ht="184.9" customHeight="1">
      <c r="A2" s="172" t="s">
        <v>832</v>
      </c>
      <c r="B2" s="172"/>
      <c r="C2" s="172"/>
      <c r="D2" s="172"/>
      <c r="E2" s="172"/>
      <c r="F2" s="172"/>
      <c r="G2" s="172"/>
    </row>
    <row r="3" spans="1:7">
      <c r="A3" s="98" t="s">
        <v>110</v>
      </c>
      <c r="B3" s="91" t="s">
        <v>829</v>
      </c>
    </row>
    <row r="4" spans="1:7">
      <c r="A4" s="30" t="str">
        <f>VLOOKUP(Read_First!B5,Items!A1:BI50,54,FALSE)</f>
        <v>Attrattività</v>
      </c>
      <c r="B4" s="7">
        <f>SQRT(VAR(DT!AC4:AC1004))</f>
        <v>0.31180478223116481</v>
      </c>
    </row>
    <row r="5" spans="1:7">
      <c r="A5" s="30" t="str">
        <f>VLOOKUP(Read_First!B5,Items!A1:BI50,55,FALSE)</f>
        <v>Apprendibilità</v>
      </c>
      <c r="B5" s="7">
        <f>SQRT(VAR(DT!AD4:AD1004))</f>
        <v>1.2323757543866236</v>
      </c>
    </row>
    <row r="6" spans="1:7">
      <c r="A6" s="30" t="str">
        <f>VLOOKUP(Read_First!B5,Items!A1:BI50,56,FALSE)</f>
        <v>Efficienca</v>
      </c>
      <c r="B6" s="7">
        <f>SQRT(VAR(DT!AE4:AE1004))</f>
        <v>0.79843597113356568</v>
      </c>
    </row>
    <row r="7" spans="1:7">
      <c r="A7" s="30" t="str">
        <f>VLOOKUP(Read_First!B5,Items!A1:BI50,57,FALSE)</f>
        <v>Controllabilità</v>
      </c>
      <c r="B7" s="7">
        <f>SQRT(VAR(DT!AF4:AF1004))</f>
        <v>0.37080992435478338</v>
      </c>
    </row>
    <row r="8" spans="1:7">
      <c r="A8" s="30" t="str">
        <f>VLOOKUP(Read_First!B5,Items!A1:BI50,58,FALSE)</f>
        <v>Stimolazione</v>
      </c>
      <c r="B8" s="7">
        <f>SQRT(VAR(DT!AG4:AG1004))</f>
        <v>0.39528470752104744</v>
      </c>
    </row>
    <row r="9" spans="1:7">
      <c r="A9" s="30" t="str">
        <f>VLOOKUP(Read_First!B5,Items!A1:BI50,59,FALSE)</f>
        <v>Originalità</v>
      </c>
      <c r="B9" s="7">
        <f>SQRT(VAR(DT!AH4:AH1004))</f>
        <v>0.76239753409884514</v>
      </c>
    </row>
    <row r="11" spans="1:7">
      <c r="A11" s="103" t="s">
        <v>830</v>
      </c>
      <c r="B11" s="99" t="str">
        <f>VLOOKUP(Read_First!B5,Items!A1:BI50,54,FALSE)</f>
        <v>Attrattività</v>
      </c>
      <c r="C11" s="101" t="str">
        <f>VLOOKUP(Read_First!B5,Items!A1:BI50,55,FALSE)</f>
        <v>Apprendibilità</v>
      </c>
      <c r="D11" s="101" t="str">
        <f>VLOOKUP(Read_First!B5,Items!A1:BI50,56,FALSE)</f>
        <v>Efficienca</v>
      </c>
      <c r="E11" s="102" t="str">
        <f>VLOOKUP(Read_First!B5,Items!A1:BI50,57,FALSE)</f>
        <v>Controllabilità</v>
      </c>
      <c r="F11" s="99" t="str">
        <f>VLOOKUP(Read_First!B5,Items!A1:BI50,58,FALSE)</f>
        <v>Stimolazione</v>
      </c>
      <c r="G11" s="100" t="str">
        <f>VLOOKUP(Read_First!B5,Items!A1:BI50,59,FALSE)</f>
        <v>Originalità</v>
      </c>
    </row>
    <row r="12" spans="1:7">
      <c r="A12" s="105" t="s">
        <v>833</v>
      </c>
      <c r="B12" s="4">
        <f>POWER((1.65*B4)/0.5,2)</f>
        <v>1.0587500000000205</v>
      </c>
      <c r="C12" s="4">
        <f>POWER((1.65*B5)/0.5,2)</f>
        <v>16.539187499999993</v>
      </c>
      <c r="D12" s="4">
        <f>POWER((1.65*B6)/0.5,2)</f>
        <v>6.9423749999999993</v>
      </c>
      <c r="E12" s="4">
        <f>POWER((1.65*B7)/0.5,2)</f>
        <v>1.4973750000000019</v>
      </c>
      <c r="F12" s="4">
        <f>POWER((1.65*B8)/0.5,2)</f>
        <v>1.7015624999999999</v>
      </c>
      <c r="G12" s="4">
        <f>POWER((1.65*B9)/0.5,2)</f>
        <v>6.3298124999999956</v>
      </c>
    </row>
    <row r="13" spans="1:7">
      <c r="A13" s="105" t="s">
        <v>834</v>
      </c>
      <c r="B13" s="4">
        <f>POWER((1.96*B4)/0.5,2)</f>
        <v>1.4939555555555846</v>
      </c>
      <c r="C13" s="4">
        <f>POWER((1.96*B5)/0.5,2)</f>
        <v>23.33771999999999</v>
      </c>
      <c r="D13" s="4">
        <f>POWER((1.96*B6)/0.5,2)</f>
        <v>9.7960800000000017</v>
      </c>
      <c r="E13" s="4">
        <f>POWER((1.96*B7)/0.5,2)</f>
        <v>2.1128800000000023</v>
      </c>
      <c r="F13" s="4">
        <f>POWER((1.96*B8)/0.5,2)</f>
        <v>2.4009999999999998</v>
      </c>
      <c r="G13" s="4">
        <f>POWER((1.96*B9)/0.5,2)</f>
        <v>8.931719999999995</v>
      </c>
    </row>
    <row r="14" spans="1:7">
      <c r="A14" s="105" t="s">
        <v>835</v>
      </c>
      <c r="B14" s="4">
        <f>POWER((2.58*B4)/0.5,2)</f>
        <v>2.5886000000000506</v>
      </c>
      <c r="C14" s="4">
        <f>POWER((2.58*B5)/0.5,2)</f>
        <v>40.437629999999984</v>
      </c>
      <c r="D14" s="4">
        <f>POWER((2.58*B6)/0.5,2)</f>
        <v>16.973820000000003</v>
      </c>
      <c r="E14" s="4">
        <f>POWER((2.58*B7)/0.5,2)</f>
        <v>3.661020000000005</v>
      </c>
      <c r="F14" s="4">
        <f>POWER((2.58*B8)/0.5,2)</f>
        <v>4.1602500000000013</v>
      </c>
      <c r="G14" s="4">
        <f>POWER((2.58*B9)/0.5,2)</f>
        <v>15.476129999999994</v>
      </c>
    </row>
    <row r="15" spans="1:7">
      <c r="A15" s="105" t="s">
        <v>836</v>
      </c>
      <c r="B15" s="4">
        <f>POWER((1.65*B4)/0.25,2)</f>
        <v>4.235000000000082</v>
      </c>
      <c r="C15" s="4">
        <f>POWER((1.65*B5)/0.25,2)</f>
        <v>66.156749999999974</v>
      </c>
      <c r="D15" s="4">
        <f>POWER((1.65*B6)/0.25,2)</f>
        <v>27.769499999999997</v>
      </c>
      <c r="E15" s="4">
        <f>POWER((1.65*B7)/0.25,2)</f>
        <v>5.9895000000000076</v>
      </c>
      <c r="F15" s="4">
        <f>POWER((1.65*B8)/0.25,2)</f>
        <v>6.8062499999999995</v>
      </c>
      <c r="G15" s="4">
        <f>POWER((1.65*B9)/0.25,2)</f>
        <v>25.319249999999982</v>
      </c>
    </row>
    <row r="16" spans="1:7">
      <c r="A16" s="105" t="s">
        <v>837</v>
      </c>
      <c r="B16" s="4">
        <f>POWER((1.96*B4)/0.25,2)</f>
        <v>5.9758222222223383</v>
      </c>
      <c r="C16" s="4">
        <f>POWER((1.96*B5)/0.25,2)</f>
        <v>93.350879999999961</v>
      </c>
      <c r="D16" s="4">
        <f>POWER((1.96*B6)/0.25,2)</f>
        <v>39.184320000000007</v>
      </c>
      <c r="E16" s="4">
        <f>POWER((1.96*B7)/0.25,2)</f>
        <v>8.4515200000000092</v>
      </c>
      <c r="F16" s="4">
        <f>POWER((1.96*B8)/0.25,2)</f>
        <v>9.6039999999999992</v>
      </c>
      <c r="G16" s="4">
        <f>POWER((1.96*B9)/0.25,2)</f>
        <v>35.72687999999998</v>
      </c>
    </row>
    <row r="17" spans="1:7">
      <c r="A17" s="105" t="s">
        <v>838</v>
      </c>
      <c r="B17" s="4">
        <f>POWER((2.58*B4)/0.25,2)</f>
        <v>10.354400000000203</v>
      </c>
      <c r="C17" s="4">
        <f>POWER((2.58*B5)/0.25,2)</f>
        <v>161.75051999999994</v>
      </c>
      <c r="D17" s="4">
        <f>POWER((2.58*B6)/0.25,2)</f>
        <v>67.895280000000014</v>
      </c>
      <c r="E17" s="4">
        <f>POWER((2.58*B7)/0.25,2)</f>
        <v>14.64408000000002</v>
      </c>
      <c r="F17" s="4">
        <f>POWER((2.58*B8)/0.25,2)</f>
        <v>16.641000000000005</v>
      </c>
      <c r="G17" s="4">
        <f>POWER((2.58*B9)/0.25,2)</f>
        <v>61.904519999999977</v>
      </c>
    </row>
    <row r="18" spans="1:7">
      <c r="A18" s="105" t="s">
        <v>839</v>
      </c>
      <c r="B18" s="4">
        <f>POWER((1.65*B4)/0.1,2)</f>
        <v>26.468750000000508</v>
      </c>
      <c r="C18" s="4">
        <f>POWER((1.65*B5)/0.1,2)</f>
        <v>413.47968749999978</v>
      </c>
      <c r="D18" s="4">
        <f>POWER((1.65*B6)/0.1,2)</f>
        <v>173.55937499999996</v>
      </c>
      <c r="E18" s="4">
        <f>POWER((1.65*B7)/0.1,2)</f>
        <v>37.434375000000038</v>
      </c>
      <c r="F18" s="4">
        <f>POWER((1.65*B8)/0.1,2)</f>
        <v>42.539062499999986</v>
      </c>
      <c r="G18" s="4">
        <f>POWER((1.65*B9)/0.1,2)</f>
        <v>158.2453124999999</v>
      </c>
    </row>
    <row r="19" spans="1:7">
      <c r="A19" s="105" t="s">
        <v>840</v>
      </c>
      <c r="B19" s="4">
        <f>POWER((1.96*B4)/0.1,2)</f>
        <v>37.348888888889611</v>
      </c>
      <c r="C19" s="4">
        <f>POWER((1.96*B5)/0.1,2)</f>
        <v>583.44299999999964</v>
      </c>
      <c r="D19" s="4">
        <f>POWER((1.96*B6)/0.1,2)</f>
        <v>244.90200000000004</v>
      </c>
      <c r="E19" s="4">
        <f>POWER((1.96*B7)/0.1,2)</f>
        <v>52.82200000000006</v>
      </c>
      <c r="F19" s="4">
        <f>POWER((1.96*B8)/0.1,2)</f>
        <v>60.024999999999991</v>
      </c>
      <c r="G19" s="4">
        <f>POWER((1.96*B9)/0.1,2)</f>
        <v>223.29299999999986</v>
      </c>
    </row>
    <row r="20" spans="1:7">
      <c r="A20" s="106" t="s">
        <v>841</v>
      </c>
      <c r="B20" s="4">
        <f>POWER((2.58*B4)/0.1,2)</f>
        <v>64.715000000001254</v>
      </c>
      <c r="C20" s="4">
        <f>POWER((2.58*B5)/0.1,2)</f>
        <v>1010.9407499999996</v>
      </c>
      <c r="D20" s="4">
        <f>POWER((2.58*B6)/0.1,2)</f>
        <v>424.34550000000002</v>
      </c>
      <c r="E20" s="4">
        <f>POWER((2.58*B7)/0.1,2)</f>
        <v>91.525500000000122</v>
      </c>
      <c r="F20" s="4">
        <f>POWER((2.58*B8)/0.1,2)</f>
        <v>104.00625000000004</v>
      </c>
      <c r="G20" s="4">
        <f>POWER((2.58*B9)/0.1,2)</f>
        <v>386.90324999999979</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6" customFormat="1" ht="133.15" customHeight="1">
      <c r="A1" s="172" t="s">
        <v>1293</v>
      </c>
      <c r="B1" s="166"/>
      <c r="C1" s="166"/>
      <c r="D1" s="166"/>
      <c r="E1" s="166"/>
      <c r="F1" s="166"/>
      <c r="H1" s="62"/>
      <c r="I1" s="134" t="s">
        <v>1278</v>
      </c>
      <c r="J1" s="129" t="e">
        <f>AVERAGE(O4:O1004)</f>
        <v>#VALUE!</v>
      </c>
      <c r="K1" s="130" t="s">
        <v>1292</v>
      </c>
      <c r="L1" s="131" t="e">
        <f>STDEV(O4:O1004)</f>
        <v>#VALUE!</v>
      </c>
      <c r="M1" s="132" t="s">
        <v>1294</v>
      </c>
      <c r="N1" s="133" t="e">
        <f>CONFIDENCE(0.05,L1,Results!E3)</f>
        <v>#VALUE!</v>
      </c>
      <c r="O1" s="135"/>
    </row>
    <row r="2" spans="1:23">
      <c r="A2" s="183" t="s">
        <v>1275</v>
      </c>
      <c r="B2" s="183"/>
      <c r="C2" s="183"/>
      <c r="D2" s="183"/>
      <c r="E2" s="183"/>
      <c r="F2" s="183"/>
      <c r="G2" s="51"/>
      <c r="I2" s="183" t="s">
        <v>1276</v>
      </c>
      <c r="J2" s="183"/>
      <c r="K2" s="183"/>
      <c r="L2" s="183"/>
      <c r="M2" s="183"/>
      <c r="N2" s="183"/>
      <c r="O2" s="1"/>
      <c r="P2" s="15"/>
      <c r="Q2" s="184" t="s">
        <v>1536</v>
      </c>
      <c r="R2" s="184"/>
      <c r="S2" s="184"/>
      <c r="T2" s="184"/>
      <c r="U2" s="184"/>
      <c r="V2" s="184"/>
      <c r="W2" s="184"/>
    </row>
    <row r="3" spans="1:23">
      <c r="A3" s="98" t="str">
        <f>VLOOKUP(Read_First!B5,Items!A1:BI50,54,FALSE)</f>
        <v>Attrattività</v>
      </c>
      <c r="B3" s="92" t="str">
        <f>VLOOKUP(Read_First!B5,Items!A1:BI50,55,FALSE)</f>
        <v>Apprendibilità</v>
      </c>
      <c r="C3" s="92" t="str">
        <f>VLOOKUP(Read_First!B5,Items!A1:BI50,56,FALSE)</f>
        <v>Efficienca</v>
      </c>
      <c r="D3" s="92" t="str">
        <f>VLOOKUP(Read_First!B5,Items!A1:BI50,57,FALSE)</f>
        <v>Controllabilità</v>
      </c>
      <c r="E3" s="92" t="str">
        <f>VLOOKUP(Read_First!B5,Items!A1:BI50,58,FALSE)</f>
        <v>Stimolazione</v>
      </c>
      <c r="F3" s="92" t="str">
        <f>VLOOKUP(Read_First!B5,Items!A1:BI50,59,FALSE)</f>
        <v>Originalità</v>
      </c>
      <c r="G3" s="91" t="s">
        <v>1277</v>
      </c>
      <c r="I3" s="127" t="str">
        <f>VLOOKUP(Read_First!B5,Items!A1:BI50,54,FALSE)</f>
        <v>Attrattività</v>
      </c>
      <c r="J3" s="90" t="str">
        <f>VLOOKUP(Read_First!B5,Items!A1:BI50,55,FALSE)</f>
        <v>Apprendibilità</v>
      </c>
      <c r="K3" s="89" t="str">
        <f>VLOOKUP(Read_First!B5,Items!A1:BI50,56,FALSE)</f>
        <v>Efficienca</v>
      </c>
      <c r="L3" s="89" t="str">
        <f>VLOOKUP(Read_First!B5,Items!A1:BI50,57,FALSE)</f>
        <v>Controllabilità</v>
      </c>
      <c r="M3" s="89" t="str">
        <f>VLOOKUP(Read_First!B5,Items!A1:BI50,58,FALSE)</f>
        <v>Stimolazione</v>
      </c>
      <c r="N3" s="89" t="str">
        <f>VLOOKUP(Read_First!B5,Items!A1:BI50,59,FALSE)</f>
        <v>Originalità</v>
      </c>
      <c r="O3" s="128" t="s">
        <v>1278</v>
      </c>
      <c r="P3" s="15"/>
      <c r="Q3" s="148" t="s">
        <v>1533</v>
      </c>
      <c r="R3" s="148" t="s">
        <v>106</v>
      </c>
      <c r="S3" s="148" t="s">
        <v>1534</v>
      </c>
      <c r="T3" s="148" t="s">
        <v>3</v>
      </c>
      <c r="U3" s="148" t="s">
        <v>112</v>
      </c>
      <c r="V3" s="177" t="s">
        <v>1535</v>
      </c>
      <c r="W3" s="177"/>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2.0122549019607847</v>
      </c>
      <c r="P4" s="15"/>
      <c r="Q4" s="149" t="str">
        <f>VLOOKUP(Read_First!B5,Items!A1:BI50,54,FALSE)</f>
        <v>Attrattività</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2.1388888888888888</v>
      </c>
      <c r="P5" s="15"/>
      <c r="Q5" s="149" t="str">
        <f>VLOOKUP(Read_First!B5,Items!A1:BI50,55,FALSE)</f>
        <v>Apprendibilità</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1.3785714285714286</v>
      </c>
      <c r="P6" s="15"/>
      <c r="Q6" s="149" t="str">
        <f>VLOOKUP(Read_First!B5,Items!A1:BI50,56,FALSE)</f>
        <v>Efficienca</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2.3000000000000003</v>
      </c>
      <c r="P7" s="15"/>
      <c r="Q7" s="149" t="str">
        <f>VLOOKUP(Read_First!B5,Items!A1:BI50,57,FALSE)</f>
        <v>Controllabilità</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1.3888888888888891</v>
      </c>
      <c r="P8" s="15"/>
      <c r="Q8" s="149" t="str">
        <f>VLOOKUP(Read_First!B5,Items!A1:BI50,58,FALSE)</f>
        <v>Stimolazione</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t="e">
        <f>IF(G9&gt;0,DT!AC9*I9+DT!AD9*J9+DT!AE9*K9+DT!AF9*L9+DT!AG9*M9+DT!AH9*N9,"")</f>
        <v>#VALUE!</v>
      </c>
      <c r="P9" s="15"/>
      <c r="Q9" s="149" t="str">
        <f>VLOOKUP(Read_First!B5,Items!A1:BI50,59,FALSE)</f>
        <v>Originalità</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t="e">
        <f>IF(G10&gt;0,DT!AC10*I10+DT!AD10*J10+DT!AE10*K10+DT!AF10*L10+DT!AG10*M10+DT!AH10*N10,"")</f>
        <v>#VALUE!</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t="e">
        <f>IF(G11&gt;0,DT!AC11*I11+DT!AD11*J11+DT!AE11*K11+DT!AF11*L11+DT!AG11*M11+DT!AH11*N11,"")</f>
        <v>#VALUE!</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24"/>
  <sheetViews>
    <sheetView topLeftCell="AW1" workbookViewId="0">
      <selection activeCell="BH24" sqref="BH24:BI24"/>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1361</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1300</v>
      </c>
      <c r="B21" s="49" t="s">
        <v>1301</v>
      </c>
      <c r="C21" s="49" t="s">
        <v>1302</v>
      </c>
      <c r="D21" s="49" t="s">
        <v>1303</v>
      </c>
      <c r="E21" s="49" t="s">
        <v>1304</v>
      </c>
      <c r="F21" s="49" t="s">
        <v>1305</v>
      </c>
      <c r="G21" s="49" t="s">
        <v>1306</v>
      </c>
      <c r="H21" s="49" t="s">
        <v>1307</v>
      </c>
      <c r="I21" s="49" t="s">
        <v>1308</v>
      </c>
      <c r="J21" s="49" t="s">
        <v>1309</v>
      </c>
      <c r="K21" s="49" t="s">
        <v>1310</v>
      </c>
      <c r="L21" s="49" t="s">
        <v>1311</v>
      </c>
      <c r="M21" s="49" t="s">
        <v>1312</v>
      </c>
      <c r="N21" s="49" t="s">
        <v>1313</v>
      </c>
      <c r="O21" s="49" t="s">
        <v>1314</v>
      </c>
      <c r="P21" s="49" t="s">
        <v>1315</v>
      </c>
      <c r="Q21" s="49" t="s">
        <v>1316</v>
      </c>
      <c r="R21" s="49" t="s">
        <v>1317</v>
      </c>
      <c r="S21" s="49" t="s">
        <v>1318</v>
      </c>
      <c r="T21" s="49" t="s">
        <v>1319</v>
      </c>
      <c r="U21" s="49" t="s">
        <v>1320</v>
      </c>
      <c r="V21" s="49" t="s">
        <v>1321</v>
      </c>
      <c r="W21" s="49" t="s">
        <v>1322</v>
      </c>
      <c r="X21" s="49" t="s">
        <v>1323</v>
      </c>
      <c r="Y21" s="49" t="s">
        <v>1324</v>
      </c>
      <c r="Z21" s="49" t="s">
        <v>1325</v>
      </c>
      <c r="AA21" s="49" t="s">
        <v>1326</v>
      </c>
      <c r="AB21" s="49" t="s">
        <v>1327</v>
      </c>
      <c r="AC21" s="49" t="s">
        <v>1328</v>
      </c>
      <c r="AD21" s="49" t="s">
        <v>1329</v>
      </c>
      <c r="AE21" s="49" t="s">
        <v>1330</v>
      </c>
      <c r="AF21" s="49" t="s">
        <v>1331</v>
      </c>
      <c r="AG21" s="49" t="s">
        <v>1332</v>
      </c>
      <c r="AH21" s="49" t="s">
        <v>1333</v>
      </c>
      <c r="AI21" s="49" t="s">
        <v>1334</v>
      </c>
      <c r="AJ21" s="49" t="s">
        <v>1335</v>
      </c>
      <c r="AK21" s="49" t="s">
        <v>1336</v>
      </c>
      <c r="AL21" s="49" t="s">
        <v>1337</v>
      </c>
      <c r="AM21" s="49" t="s">
        <v>1338</v>
      </c>
      <c r="AN21" s="49" t="s">
        <v>1339</v>
      </c>
      <c r="AO21" s="49" t="s">
        <v>1340</v>
      </c>
      <c r="AP21" s="49" t="s">
        <v>1341</v>
      </c>
      <c r="AQ21" s="49" t="s">
        <v>1342</v>
      </c>
      <c r="AR21" s="49" t="s">
        <v>1343</v>
      </c>
      <c r="AS21" s="49" t="s">
        <v>1344</v>
      </c>
      <c r="AT21" s="49" t="s">
        <v>1345</v>
      </c>
      <c r="AU21" s="49" t="s">
        <v>1346</v>
      </c>
      <c r="AV21" s="49" t="s">
        <v>1347</v>
      </c>
      <c r="AW21" s="49" t="s">
        <v>1348</v>
      </c>
      <c r="AX21" s="49" t="s">
        <v>1349</v>
      </c>
      <c r="AY21" s="49" t="s">
        <v>1350</v>
      </c>
      <c r="AZ21" s="49" t="s">
        <v>1351</v>
      </c>
      <c r="BA21" s="49" t="s">
        <v>1352</v>
      </c>
      <c r="BB21" s="47" t="s">
        <v>1353</v>
      </c>
      <c r="BC21" s="59" t="s">
        <v>1354</v>
      </c>
      <c r="BD21" s="59" t="s">
        <v>1355</v>
      </c>
      <c r="BE21" s="59" t="s">
        <v>1356</v>
      </c>
      <c r="BF21" s="59" t="s">
        <v>1357</v>
      </c>
      <c r="BG21" s="59" t="s">
        <v>1358</v>
      </c>
      <c r="BH21" s="59" t="s">
        <v>1359</v>
      </c>
      <c r="BI21" s="59" t="s">
        <v>1360</v>
      </c>
    </row>
    <row r="22" spans="1:61">
      <c r="A22" t="s">
        <v>1362</v>
      </c>
      <c r="B22" s="49" t="s">
        <v>1363</v>
      </c>
      <c r="C22" s="49" t="s">
        <v>1364</v>
      </c>
      <c r="D22" s="49" t="s">
        <v>1365</v>
      </c>
      <c r="E22" s="49" t="s">
        <v>1366</v>
      </c>
      <c r="F22" s="49" t="s">
        <v>1367</v>
      </c>
      <c r="G22" s="49" t="s">
        <v>1368</v>
      </c>
      <c r="H22" s="49" t="s">
        <v>579</v>
      </c>
      <c r="I22" s="49" t="s">
        <v>1369</v>
      </c>
      <c r="J22" s="49" t="s">
        <v>1370</v>
      </c>
      <c r="K22" s="49" t="s">
        <v>1371</v>
      </c>
      <c r="L22" s="49" t="s">
        <v>583</v>
      </c>
      <c r="M22" s="49" t="s">
        <v>1364</v>
      </c>
      <c r="N22" s="49" t="s">
        <v>1372</v>
      </c>
      <c r="O22" s="49" t="s">
        <v>1373</v>
      </c>
      <c r="P22" s="49" t="s">
        <v>1374</v>
      </c>
      <c r="Q22" s="49" t="s">
        <v>1375</v>
      </c>
      <c r="R22" s="49" t="s">
        <v>589</v>
      </c>
      <c r="S22" s="49" t="s">
        <v>1376</v>
      </c>
      <c r="T22" s="49" t="s">
        <v>1377</v>
      </c>
      <c r="U22" s="49" t="s">
        <v>1378</v>
      </c>
      <c r="V22" s="49" t="s">
        <v>1379</v>
      </c>
      <c r="W22" s="49" t="s">
        <v>1380</v>
      </c>
      <c r="X22" s="49" t="s">
        <v>595</v>
      </c>
      <c r="Y22" s="49" t="s">
        <v>1381</v>
      </c>
      <c r="Z22" s="49" t="s">
        <v>1382</v>
      </c>
      <c r="AA22" s="49" t="s">
        <v>1383</v>
      </c>
      <c r="AB22" s="49" t="s">
        <v>599</v>
      </c>
      <c r="AC22" s="49" t="s">
        <v>1384</v>
      </c>
      <c r="AD22" s="49" t="s">
        <v>1385</v>
      </c>
      <c r="AE22" s="49" t="s">
        <v>1386</v>
      </c>
      <c r="AF22" s="49" t="s">
        <v>1387</v>
      </c>
      <c r="AG22" s="49" t="s">
        <v>574</v>
      </c>
      <c r="AH22" s="49" t="s">
        <v>1388</v>
      </c>
      <c r="AI22" s="49" t="s">
        <v>1389</v>
      </c>
      <c r="AJ22" s="49" t="s">
        <v>1390</v>
      </c>
      <c r="AK22" s="49" t="s">
        <v>1391</v>
      </c>
      <c r="AL22" s="49" t="s">
        <v>1392</v>
      </c>
      <c r="AM22" s="49" t="s">
        <v>1393</v>
      </c>
      <c r="AN22" s="49" t="s">
        <v>1394</v>
      </c>
      <c r="AO22" s="49" t="s">
        <v>1395</v>
      </c>
      <c r="AP22" s="49" t="s">
        <v>613</v>
      </c>
      <c r="AQ22" s="49" t="s">
        <v>1396</v>
      </c>
      <c r="AR22" s="49" t="s">
        <v>1397</v>
      </c>
      <c r="AS22" s="49" t="s">
        <v>1398</v>
      </c>
      <c r="AT22" s="49" t="s">
        <v>1399</v>
      </c>
      <c r="AU22" s="49" t="s">
        <v>1400</v>
      </c>
      <c r="AV22" s="49" t="s">
        <v>586</v>
      </c>
      <c r="AW22" s="49" t="s">
        <v>585</v>
      </c>
      <c r="AX22" s="49" t="s">
        <v>1401</v>
      </c>
      <c r="AY22" s="49" t="s">
        <v>1402</v>
      </c>
      <c r="AZ22" s="49" t="s">
        <v>623</v>
      </c>
      <c r="BA22" s="49" t="s">
        <v>624</v>
      </c>
      <c r="BB22" t="s">
        <v>1403</v>
      </c>
      <c r="BC22" t="s">
        <v>626</v>
      </c>
      <c r="BD22" t="s">
        <v>1404</v>
      </c>
      <c r="BE22" t="s">
        <v>1405</v>
      </c>
      <c r="BF22" t="s">
        <v>1408</v>
      </c>
      <c r="BG22" t="s">
        <v>1409</v>
      </c>
      <c r="BH22" t="s">
        <v>1406</v>
      </c>
      <c r="BI22" t="s">
        <v>1407</v>
      </c>
    </row>
    <row r="23" spans="1:61">
      <c r="A23" s="46" t="s">
        <v>1410</v>
      </c>
      <c r="B23" s="145" t="s">
        <v>1461</v>
      </c>
      <c r="C23" s="145" t="s">
        <v>1411</v>
      </c>
      <c r="D23" s="145" t="s">
        <v>1412</v>
      </c>
      <c r="E23" s="145" t="s">
        <v>1413</v>
      </c>
      <c r="F23" s="145" t="s">
        <v>1414</v>
      </c>
      <c r="G23" s="145" t="s">
        <v>1415</v>
      </c>
      <c r="H23" s="145" t="s">
        <v>1416</v>
      </c>
      <c r="I23" s="145" t="s">
        <v>1417</v>
      </c>
      <c r="J23" s="145" t="s">
        <v>1418</v>
      </c>
      <c r="K23" s="145" t="s">
        <v>1419</v>
      </c>
      <c r="L23" s="145" t="s">
        <v>1420</v>
      </c>
      <c r="M23" s="145" t="s">
        <v>1462</v>
      </c>
      <c r="N23" s="145" t="s">
        <v>1422</v>
      </c>
      <c r="O23" s="145" t="s">
        <v>1421</v>
      </c>
      <c r="P23" s="145" t="s">
        <v>1423</v>
      </c>
      <c r="Q23" s="145" t="s">
        <v>1424</v>
      </c>
      <c r="R23" s="145" t="s">
        <v>1425</v>
      </c>
      <c r="S23" s="145" t="s">
        <v>1426</v>
      </c>
      <c r="T23" s="145" t="s">
        <v>1427</v>
      </c>
      <c r="U23" s="145" t="s">
        <v>1428</v>
      </c>
      <c r="V23" s="145" t="s">
        <v>1429</v>
      </c>
      <c r="W23" s="145" t="s">
        <v>1430</v>
      </c>
      <c r="X23" s="145" t="s">
        <v>1431</v>
      </c>
      <c r="Y23" s="145" t="s">
        <v>1432</v>
      </c>
      <c r="Z23" s="145" t="s">
        <v>1433</v>
      </c>
      <c r="AA23" s="145" t="s">
        <v>1434</v>
      </c>
      <c r="AB23" s="145" t="s">
        <v>1435</v>
      </c>
      <c r="AC23" s="145" t="s">
        <v>1436</v>
      </c>
      <c r="AD23" s="145" t="s">
        <v>1437</v>
      </c>
      <c r="AE23" s="145" t="s">
        <v>1438</v>
      </c>
      <c r="AF23" s="145" t="s">
        <v>1439</v>
      </c>
      <c r="AG23" s="145" t="s">
        <v>1419</v>
      </c>
      <c r="AH23" s="145" t="s">
        <v>1440</v>
      </c>
      <c r="AI23" s="145" t="s">
        <v>1441</v>
      </c>
      <c r="AJ23" s="145" t="s">
        <v>1442</v>
      </c>
      <c r="AK23" s="145" t="s">
        <v>1443</v>
      </c>
      <c r="AL23" s="145" t="s">
        <v>1444</v>
      </c>
      <c r="AM23" s="145" t="s">
        <v>1445</v>
      </c>
      <c r="AN23" s="145" t="s">
        <v>1446</v>
      </c>
      <c r="AO23" s="145" t="s">
        <v>1463</v>
      </c>
      <c r="AP23" s="145" t="s">
        <v>1447</v>
      </c>
      <c r="AQ23" s="145" t="s">
        <v>1448</v>
      </c>
      <c r="AR23" s="145" t="s">
        <v>1464</v>
      </c>
      <c r="AS23" s="145" t="s">
        <v>1449</v>
      </c>
      <c r="AT23" s="145" t="s">
        <v>1450</v>
      </c>
      <c r="AU23" s="145" t="s">
        <v>1451</v>
      </c>
      <c r="AV23" s="145" t="s">
        <v>1465</v>
      </c>
      <c r="AW23" s="145" t="s">
        <v>1466</v>
      </c>
      <c r="AX23" s="145" t="s">
        <v>1452</v>
      </c>
      <c r="AY23" s="145" t="s">
        <v>1453</v>
      </c>
      <c r="AZ23" s="145" t="s">
        <v>1467</v>
      </c>
      <c r="BA23" s="145" t="s">
        <v>1454</v>
      </c>
      <c r="BB23" s="143" t="s">
        <v>1455</v>
      </c>
      <c r="BC23" s="143" t="s">
        <v>1456</v>
      </c>
      <c r="BD23" s="143" t="s">
        <v>1457</v>
      </c>
      <c r="BE23" s="144" t="s">
        <v>1458</v>
      </c>
      <c r="BF23" s="144" t="s">
        <v>1468</v>
      </c>
      <c r="BG23" s="143" t="s">
        <v>1469</v>
      </c>
      <c r="BH23" s="142" t="s">
        <v>1459</v>
      </c>
      <c r="BI23" s="142" t="s">
        <v>1460</v>
      </c>
    </row>
    <row r="24" spans="1:61">
      <c r="A24" t="s">
        <v>1472</v>
      </c>
      <c r="B24" t="s">
        <v>1473</v>
      </c>
      <c r="C24" t="s">
        <v>1474</v>
      </c>
      <c r="D24" t="s">
        <v>1475</v>
      </c>
      <c r="E24" t="s">
        <v>1476</v>
      </c>
      <c r="F24" t="s">
        <v>1477</v>
      </c>
      <c r="G24" t="s">
        <v>1478</v>
      </c>
      <c r="H24" t="s">
        <v>1479</v>
      </c>
      <c r="I24" t="s">
        <v>1480</v>
      </c>
      <c r="J24" t="s">
        <v>1481</v>
      </c>
      <c r="K24" t="s">
        <v>1482</v>
      </c>
      <c r="L24" t="s">
        <v>1483</v>
      </c>
      <c r="M24" t="s">
        <v>1484</v>
      </c>
      <c r="N24" t="s">
        <v>1485</v>
      </c>
      <c r="O24" t="s">
        <v>1486</v>
      </c>
      <c r="P24" t="s">
        <v>1487</v>
      </c>
      <c r="Q24" t="s">
        <v>1488</v>
      </c>
      <c r="R24" t="s">
        <v>1489</v>
      </c>
      <c r="S24" t="s">
        <v>1490</v>
      </c>
      <c r="T24" t="s">
        <v>1491</v>
      </c>
      <c r="U24" t="s">
        <v>1492</v>
      </c>
      <c r="V24" t="s">
        <v>1493</v>
      </c>
      <c r="W24" t="s">
        <v>1494</v>
      </c>
      <c r="X24" t="s">
        <v>1495</v>
      </c>
      <c r="Y24" t="s">
        <v>1496</v>
      </c>
      <c r="Z24" t="s">
        <v>1497</v>
      </c>
      <c r="AA24" t="s">
        <v>1498</v>
      </c>
      <c r="AB24" t="s">
        <v>1499</v>
      </c>
      <c r="AC24" t="s">
        <v>1500</v>
      </c>
      <c r="AD24" t="s">
        <v>1501</v>
      </c>
      <c r="AE24" t="s">
        <v>1502</v>
      </c>
      <c r="AF24" t="s">
        <v>1503</v>
      </c>
      <c r="AG24" t="s">
        <v>1504</v>
      </c>
      <c r="AH24" t="s">
        <v>1505</v>
      </c>
      <c r="AI24" t="s">
        <v>1506</v>
      </c>
      <c r="AJ24" t="s">
        <v>1507</v>
      </c>
      <c r="AK24" t="s">
        <v>1508</v>
      </c>
      <c r="AL24" t="s">
        <v>1509</v>
      </c>
      <c r="AM24" t="s">
        <v>1510</v>
      </c>
      <c r="AN24" t="s">
        <v>1511</v>
      </c>
      <c r="AO24" t="s">
        <v>1512</v>
      </c>
      <c r="AP24" t="s">
        <v>1513</v>
      </c>
      <c r="AQ24" t="s">
        <v>1514</v>
      </c>
      <c r="AR24" t="s">
        <v>1515</v>
      </c>
      <c r="AS24" t="s">
        <v>1516</v>
      </c>
      <c r="AT24" t="s">
        <v>1517</v>
      </c>
      <c r="AU24" t="s">
        <v>1518</v>
      </c>
      <c r="AV24" t="s">
        <v>1519</v>
      </c>
      <c r="AW24" t="s">
        <v>1520</v>
      </c>
      <c r="AX24" t="s">
        <v>1521</v>
      </c>
      <c r="AY24" t="s">
        <v>1522</v>
      </c>
      <c r="AZ24" t="s">
        <v>1523</v>
      </c>
      <c r="BA24" t="s">
        <v>1524</v>
      </c>
      <c r="BB24" s="147" t="s">
        <v>1525</v>
      </c>
      <c r="BC24" t="s">
        <v>1526</v>
      </c>
      <c r="BD24" t="s">
        <v>1527</v>
      </c>
      <c r="BE24" t="s">
        <v>1528</v>
      </c>
      <c r="BF24" t="s">
        <v>1529</v>
      </c>
      <c r="BG24" t="s">
        <v>1530</v>
      </c>
      <c r="BH24" t="s">
        <v>1531</v>
      </c>
      <c r="BI24" t="s">
        <v>1532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Orion</cp:lastModifiedBy>
  <dcterms:created xsi:type="dcterms:W3CDTF">2012-03-20T13:56:56Z</dcterms:created>
  <dcterms:modified xsi:type="dcterms:W3CDTF">2020-02-18T17:51:33Z</dcterms:modified>
</cp:coreProperties>
</file>