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Documents\"/>
    </mc:Choice>
  </mc:AlternateContent>
  <xr:revisionPtr revIDLastSave="0" documentId="13_ncr:1_{7D565BAA-77D3-44A8-9393-5216CA87B8C5}" xr6:coauthVersionLast="47" xr6:coauthVersionMax="47" xr10:uidLastSave="{00000000-0000-0000-0000-000000000000}"/>
  <bookViews>
    <workbookView xWindow="-28920" yWindow="-120" windowWidth="29040" windowHeight="15840" xr2:uid="{BAFED780-D0F0-46EA-9A1A-C33B76D022C4}"/>
  </bookViews>
  <sheets>
    <sheet name="Tabelle1" sheetId="1" r:id="rId1"/>
  </sheets>
  <definedNames>
    <definedName name="A">Tabelle1!$A:$A</definedName>
    <definedName name="add">Tabelle1!$A:$A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2" i="1"/>
  <c r="G4" i="1"/>
  <c r="G2" i="1"/>
  <c r="G5" i="1" s="1"/>
  <c r="I2" i="1"/>
  <c r="B2" i="1"/>
  <c r="L25" i="1"/>
  <c r="K25" i="1"/>
  <c r="J25" i="1"/>
  <c r="U2" i="1"/>
  <c r="L22" i="1"/>
  <c r="K22" i="1"/>
  <c r="J22" i="1"/>
  <c r="L19" i="1"/>
  <c r="J16" i="1"/>
  <c r="R2" i="1"/>
  <c r="K19" i="1" s="1"/>
  <c r="L14" i="1" l="1"/>
  <c r="J18" i="1"/>
  <c r="J8" i="1"/>
  <c r="J15" i="1"/>
  <c r="K18" i="1"/>
  <c r="K16" i="1"/>
  <c r="L16" i="1"/>
  <c r="K14" i="1"/>
  <c r="L18" i="1"/>
  <c r="M2" i="1"/>
  <c r="K8" i="1"/>
  <c r="K15" i="1"/>
  <c r="J19" i="1"/>
  <c r="J14" i="1"/>
  <c r="L8" i="1"/>
  <c r="L15" i="1"/>
  <c r="K4" i="1"/>
  <c r="C2" i="1"/>
  <c r="C3" i="1"/>
  <c r="P2" i="1"/>
  <c r="N2" i="1"/>
  <c r="K2" i="1"/>
  <c r="K3" i="1"/>
  <c r="C4" i="1"/>
  <c r="E4" i="1" s="1"/>
  <c r="O2" i="1" l="1"/>
  <c r="J13" i="1" s="1"/>
  <c r="L20" i="1"/>
  <c r="J20" i="1"/>
  <c r="K20" i="1"/>
  <c r="Q2" i="1"/>
  <c r="J2" i="1" s="1"/>
  <c r="L21" i="1"/>
  <c r="K21" i="1"/>
  <c r="J21" i="1"/>
  <c r="K13" i="1" l="1"/>
  <c r="H2" i="1"/>
  <c r="L13" i="1"/>
  <c r="J7" i="1" l="1"/>
  <c r="B3" i="1"/>
  <c r="E2" i="1"/>
  <c r="L7" i="1"/>
  <c r="K7" i="1"/>
  <c r="B4" i="1"/>
  <c r="D2" i="1"/>
  <c r="A6" i="1" s="1"/>
  <c r="K10" i="1" l="1"/>
  <c r="D3" i="1"/>
  <c r="A26" i="1" s="1"/>
  <c r="K9" i="1"/>
  <c r="E3" i="1"/>
  <c r="D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L9" i="1"/>
  <c r="L10" i="1"/>
  <c r="J9" i="1"/>
  <c r="J10" i="1"/>
  <c r="A7" i="1"/>
  <c r="A8" i="1" s="1"/>
  <c r="A9" i="1" s="1"/>
  <c r="A10" i="1" s="1"/>
  <c r="A11" i="1" s="1"/>
  <c r="A12" i="1" s="1"/>
  <c r="A13" i="1" s="1"/>
  <c r="A14" i="1" s="1"/>
  <c r="A55" i="1" l="1"/>
  <c r="A57" i="1" s="1"/>
  <c r="A15" i="1"/>
  <c r="A16" i="1" s="1"/>
  <c r="A18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8" i="1" s="1"/>
</calcChain>
</file>

<file path=xl/sharedStrings.xml><?xml version="1.0" encoding="utf-8"?>
<sst xmlns="http://schemas.openxmlformats.org/spreadsheetml/2006/main" count="55" uniqueCount="33">
  <si>
    <t>Name</t>
  </si>
  <si>
    <t>Kosten</t>
  </si>
  <si>
    <t>Umsatz</t>
  </si>
  <si>
    <t>Profit</t>
  </si>
  <si>
    <t>ROI</t>
  </si>
  <si>
    <t>Lager 1</t>
  </si>
  <si>
    <t>Miete</t>
  </si>
  <si>
    <t>Arbeiter</t>
  </si>
  <si>
    <t>FixKosten</t>
  </si>
  <si>
    <t>FlexKosten</t>
  </si>
  <si>
    <t>Strom</t>
  </si>
  <si>
    <t>Wasser</t>
  </si>
  <si>
    <t>Abwasser</t>
  </si>
  <si>
    <t>Lohn</t>
  </si>
  <si>
    <t>M²</t>
  </si>
  <si>
    <t>GmBh</t>
  </si>
  <si>
    <t>Equipment</t>
  </si>
  <si>
    <t>Hallenanzahl</t>
  </si>
  <si>
    <t>Lager 2</t>
  </si>
  <si>
    <t>Ertrag</t>
  </si>
  <si>
    <t>Preis pro G</t>
  </si>
  <si>
    <t>Erntezyklen</t>
  </si>
  <si>
    <t>Lager 3</t>
  </si>
  <si>
    <t>ROI:</t>
  </si>
  <si>
    <t>Worst Case</t>
  </si>
  <si>
    <t>Average Case</t>
  </si>
  <si>
    <t>Best Case</t>
  </si>
  <si>
    <t>Kategorie</t>
  </si>
  <si>
    <t>Preis pro G.</t>
  </si>
  <si>
    <t>Flex.-Kosten</t>
  </si>
  <si>
    <t>Fix.-Kosten</t>
  </si>
  <si>
    <t>Arbeitercost</t>
  </si>
  <si>
    <t>Mietkosten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</si>
</sst>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  <numFmt numFmtId="165" formatCode="#,##0.00\ &quot;€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i/>
      <sz val="12"/>
      <color rgb="FF006100"/>
      <name val="Calibri"/>
      <family val="2"/>
      <scheme val="minor"/>
    </font>
    <font>
      <b/>
      <i/>
      <sz val="12"/>
      <color rgb="FF9C5700"/>
      <name val="Calibri"/>
      <family val="2"/>
      <scheme val="minor"/>
    </font>
    <font>
      <b/>
      <i/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D9D9D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59595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</cellStyleXfs>
  <cellXfs count="51">
    <xf numFmtId="0" fontId="0" fillId="0" borderId="0" xfId="0"/>
    <xf numFmtId="0" fontId="7" fillId="5" borderId="1" xfId="6" applyFont="1"/>
    <xf numFmtId="0" fontId="8" fillId="6" borderId="2" xfId="7" applyFont="1"/>
    <xf numFmtId="44" fontId="9" fillId="2" borderId="0" xfId="3" applyNumberFormat="1" applyFont="1" applyAlignment="1">
      <alignment horizontal="right"/>
    </xf>
    <xf numFmtId="44" fontId="10" fillId="4" borderId="0" xfId="5" applyNumberFormat="1" applyFont="1"/>
    <xf numFmtId="44" fontId="11" fillId="3" borderId="0" xfId="4" applyNumberFormat="1" applyFont="1"/>
    <xf numFmtId="165" fontId="9" fillId="2" borderId="0" xfId="3" applyNumberFormat="1" applyFont="1" applyAlignment="1">
      <alignment horizontal="right"/>
    </xf>
    <xf numFmtId="165" fontId="11" fillId="3" borderId="0" xfId="4" applyNumberFormat="1" applyFont="1"/>
    <xf numFmtId="164" fontId="9" fillId="2" borderId="0" xfId="3" applyNumberFormat="1" applyFont="1" applyAlignment="1">
      <alignment horizontal="right"/>
    </xf>
    <xf numFmtId="164" fontId="10" fillId="4" borderId="0" xfId="5" applyNumberFormat="1" applyFont="1"/>
    <xf numFmtId="9" fontId="9" fillId="2" borderId="0" xfId="2" applyFont="1" applyFill="1" applyAlignment="1">
      <alignment horizontal="right"/>
    </xf>
    <xf numFmtId="9" fontId="10" fillId="4" borderId="0" xfId="2" applyFont="1" applyFill="1"/>
    <xf numFmtId="9" fontId="11" fillId="3" borderId="0" xfId="2" applyFont="1" applyFill="1"/>
    <xf numFmtId="0" fontId="9" fillId="2" borderId="0" xfId="3" applyFont="1" applyAlignment="1">
      <alignment horizontal="right"/>
    </xf>
    <xf numFmtId="0" fontId="10" fillId="4" borderId="0" xfId="5" applyFont="1"/>
    <xf numFmtId="1" fontId="11" fillId="3" borderId="0" xfId="2" applyNumberFormat="1" applyFont="1" applyFill="1"/>
    <xf numFmtId="44" fontId="9" fillId="2" borderId="0" xfId="1" applyFont="1" applyFill="1" applyAlignment="1">
      <alignment horizontal="right"/>
    </xf>
    <xf numFmtId="44" fontId="10" fillId="4" borderId="0" xfId="1" applyFont="1" applyFill="1"/>
    <xf numFmtId="44" fontId="11" fillId="3" borderId="0" xfId="1" applyFont="1" applyFill="1"/>
    <xf numFmtId="0" fontId="11" fillId="3" borderId="0" xfId="4" applyFont="1"/>
    <xf numFmtId="44" fontId="9" fillId="2" borderId="0" xfId="3" applyNumberFormat="1" applyFont="1"/>
    <xf numFmtId="0" fontId="12" fillId="0" borderId="0" xfId="0" applyFont="1"/>
    <xf numFmtId="164" fontId="13" fillId="2" borderId="0" xfId="3" applyNumberFormat="1" applyFont="1"/>
    <xf numFmtId="9" fontId="13" fillId="2" borderId="0" xfId="2" applyFont="1" applyFill="1"/>
    <xf numFmtId="0" fontId="13" fillId="2" borderId="0" xfId="3" applyFont="1"/>
    <xf numFmtId="165" fontId="13" fillId="2" borderId="0" xfId="1" applyNumberFormat="1" applyFont="1" applyFill="1"/>
    <xf numFmtId="44" fontId="12" fillId="0" borderId="0" xfId="1" applyFont="1"/>
    <xf numFmtId="44" fontId="13" fillId="2" borderId="0" xfId="3" applyNumberFormat="1" applyFont="1"/>
    <xf numFmtId="44" fontId="12" fillId="0" borderId="0" xfId="0" applyNumberFormat="1" applyFont="1"/>
    <xf numFmtId="164" fontId="14" fillId="4" borderId="0" xfId="5" applyNumberFormat="1" applyFont="1"/>
    <xf numFmtId="9" fontId="14" fillId="4" borderId="0" xfId="2" applyFont="1" applyFill="1"/>
    <xf numFmtId="0" fontId="14" fillId="4" borderId="0" xfId="5" applyFont="1"/>
    <xf numFmtId="44" fontId="14" fillId="4" borderId="0" xfId="1" applyFont="1" applyFill="1"/>
    <xf numFmtId="44" fontId="14" fillId="4" borderId="0" xfId="5" applyNumberFormat="1" applyFont="1"/>
    <xf numFmtId="44" fontId="15" fillId="3" borderId="0" xfId="1" applyFont="1" applyFill="1"/>
    <xf numFmtId="9" fontId="15" fillId="3" borderId="0" xfId="2" applyFont="1" applyFill="1"/>
    <xf numFmtId="0" fontId="15" fillId="3" borderId="0" xfId="4" applyFont="1"/>
    <xf numFmtId="165" fontId="15" fillId="3" borderId="0" xfId="1" applyNumberFormat="1" applyFont="1" applyFill="1"/>
    <xf numFmtId="44" fontId="15" fillId="3" borderId="0" xfId="4" applyNumberFormat="1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/>
    <xf numFmtId="164" fontId="19" fillId="2" borderId="0" xfId="3" applyNumberFormat="1" applyFont="1"/>
    <xf numFmtId="164" fontId="20" fillId="4" borderId="0" xfId="5" applyNumberFormat="1" applyFont="1"/>
    <xf numFmtId="44" fontId="21" fillId="3" borderId="0" xfId="1" applyFont="1" applyFill="1"/>
    <xf numFmtId="9" fontId="18" fillId="0" borderId="0" xfId="2" applyFont="1"/>
    <xf numFmtId="165" fontId="18" fillId="0" borderId="0" xfId="0" applyNumberFormat="1" applyFont="1"/>
    <xf numFmtId="164" fontId="18" fillId="0" borderId="0" xfId="0" applyNumberFormat="1" applyFont="1"/>
    <xf numFmtId="164" fontId="18" fillId="0" borderId="0" xfId="1" applyNumberFormat="1" applyFont="1"/>
    <xf numFmtId="0" fontId="22" fillId="0" borderId="0" xfId="0" applyFont="1" applyAlignment="1">
      <alignment horizontal="center" vertical="center" readingOrder="1"/>
    </xf>
    <xf numFmtId="164" fontId="21" fillId="3" borderId="0" xfId="4" applyNumberFormat="1" applyFont="1"/>
  </cellXfs>
  <cellStyles count="8">
    <cellStyle name="Ausgabe" xfId="7" builtinId="21"/>
    <cellStyle name="Eingabe" xfId="6" builtinId="20"/>
    <cellStyle name="Gut" xfId="3" builtinId="26"/>
    <cellStyle name="Neutral" xfId="5" builtinId="28"/>
    <cellStyle name="Prozent" xfId="2" builtinId="5"/>
    <cellStyle name="Schlecht" xfId="4" builtinId="27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Best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8928642335083642"/>
          <c:y val="0.18849938573217925"/>
          <c:w val="0.79487398136953114"/>
          <c:h val="0.69360201047656778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Tabelle1!$A$6:$A$16</c:f>
              <c:numCache>
                <c:formatCode>_-* #,##0.00\ [$€-407]_-;\-* #,##0.00\ [$€-407]_-;_-* "-"??\ [$€-407]_-;_-@_-</c:formatCode>
                <c:ptCount val="11"/>
                <c:pt idx="0">
                  <c:v>8847846.5</c:v>
                </c:pt>
                <c:pt idx="1">
                  <c:v>70143836.126589328</c:v>
                </c:pt>
                <c:pt idx="2">
                  <c:v>556085341.9590652</c:v>
                </c:pt>
                <c:pt idx="3">
                  <c:v>4408525746.7763548</c:v>
                </c:pt>
                <c:pt idx="4">
                  <c:v>34949849948.428741</c:v>
                </c:pt>
                <c:pt idx="5">
                  <c:v>138537470526.38583</c:v>
                </c:pt>
                <c:pt idx="6">
                  <c:v>549147729337.02039</c:v>
                </c:pt>
                <c:pt idx="7">
                  <c:v>2176762918293.428</c:v>
                </c:pt>
                <c:pt idx="8">
                  <c:v>8628455603700.3213</c:v>
                </c:pt>
                <c:pt idx="9">
                  <c:v>34202275994023.332</c:v>
                </c:pt>
                <c:pt idx="10">
                  <c:v>135574167255340.19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C-4337-8F06-ED6B519D7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487343"/>
        <c:axId val="1672466959"/>
      </c:scatterChart>
      <c:valAx>
        <c:axId val="167248734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2466959"/>
        <c:crosses val="autoZero"/>
        <c:crossBetween val="midCat"/>
        <c:majorUnit val="1"/>
      </c:valAx>
      <c:valAx>
        <c:axId val="167246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-* #,##0.00\ [$€-407]_-;\-* #,##0.00\ [$€-407]_-;_-* &quot;-&quot;??\ [$€-407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248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4829854802038913E-2"/>
          <c:y val="7.6572284531557025E-2"/>
          <c:w val="0.89348821383436694"/>
          <c:h val="0.8720158069874172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val>
            <c:numRef>
              <c:f>Tabelle1!$A$26:$A$36</c:f>
              <c:numCache>
                <c:formatCode>_-* #,##0.00\ [$€-407]_-;\-* #,##0.00\ [$€-407]_-;_-* "-"??\ [$€-407]_-;_-@_-</c:formatCode>
                <c:ptCount val="11"/>
                <c:pt idx="0">
                  <c:v>1632846.5</c:v>
                </c:pt>
                <c:pt idx="1">
                  <c:v>3583020.8531814455</c:v>
                </c:pt>
                <c:pt idx="2">
                  <c:v>7862366.9979591435</c:v>
                </c:pt>
                <c:pt idx="3">
                  <c:v>17252708.634310212</c:v>
                </c:pt>
                <c:pt idx="4">
                  <c:v>37858313.571175903</c:v>
                </c:pt>
                <c:pt idx="5">
                  <c:v>83074022.568444356</c:v>
                </c:pt>
                <c:pt idx="6">
                  <c:v>182292674.3085784</c:v>
                </c:pt>
                <c:pt idx="7">
                  <c:v>400012158.78519505</c:v>
                </c:pt>
                <c:pt idx="8">
                  <c:v>877762794.26968884</c:v>
                </c:pt>
                <c:pt idx="9">
                  <c:v>1926110259.6080589</c:v>
                </c:pt>
                <c:pt idx="10">
                  <c:v>4226541334.8421931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1-4461-9749-91E6034861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75056911"/>
        <c:axId val="1675057743"/>
      </c:lineChart>
      <c:catAx>
        <c:axId val="16750569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5057743"/>
        <c:crosses val="autoZero"/>
        <c:auto val="1"/>
        <c:lblAlgn val="ctr"/>
        <c:lblOffset val="100"/>
        <c:noMultiLvlLbl val="0"/>
      </c:catAx>
      <c:valAx>
        <c:axId val="167505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\ [$€-407]_-;\-* #,##0.00\ [$€-407]_-;_-* &quot;-&quot;??\ [$€-407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5056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Worst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Tabelle1!$A$45:$A$55</c:f>
              <c:numCache>
                <c:formatCode>_("€"* #,##0.00_);_("€"* \(#,##0.00\);_("€"* "-"??_);_(@_)</c:formatCode>
                <c:ptCount val="11"/>
                <c:pt idx="0" formatCode="_-* #,##0.00\ [$€-407]_-;\-* #,##0.00\ [$€-407]_-;_-* &quot;-&quot;??\ [$€-407]_-;_-@_-">
                  <c:v>-1082153.5</c:v>
                </c:pt>
                <c:pt idx="1">
                  <c:v>-278493.35193581186</c:v>
                </c:pt>
                <c:pt idx="2">
                  <c:v>-71670.559742627971</c:v>
                </c:pt>
                <c:pt idx="3">
                  <c:v>-18444.494628387118</c:v>
                </c:pt>
                <c:pt idx="4">
                  <c:v>-4746.7102715295059</c:v>
                </c:pt>
                <c:pt idx="5">
                  <c:v>-1221.5709270324401</c:v>
                </c:pt>
                <c:pt idx="6">
                  <c:v>-314.37257477483672</c:v>
                </c:pt>
                <c:pt idx="7">
                  <c:v>-80.904115826207587</c:v>
                </c:pt>
                <c:pt idx="8">
                  <c:v>-20.820760087957684</c:v>
                </c:pt>
                <c:pt idx="9">
                  <c:v>-5.3582447099664732</c:v>
                </c:pt>
                <c:pt idx="10">
                  <c:v>-1.378949963910753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1-4025-85A8-DC1BF0B9C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025135"/>
        <c:axId val="1680028047"/>
      </c:lineChart>
      <c:catAx>
        <c:axId val="168002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0028047"/>
        <c:crosses val="autoZero"/>
        <c:auto val="1"/>
        <c:lblAlgn val="ctr"/>
        <c:lblOffset val="100"/>
        <c:noMultiLvlLbl val="0"/>
      </c:catAx>
      <c:valAx>
        <c:axId val="168002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\ [$€-407]_-;\-* #,##0.00\ [$€-407]_-;_-* &quot;-&quot;??\ [$€-407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002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3680295</xdr:colOff>
      <xdr:row>5</xdr:row>
      <xdr:rowOff>11206</xdr:rowOff>
    </xdr:from>
    <xdr:to>
      <xdr:col>7</xdr:col>
      <xdr:colOff>56031</xdr:colOff>
      <xdr:row>17</xdr:row>
      <xdr:rowOff>56028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02EC2B5-1DF1-4804-A60E-FDCE185E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11207</xdr:colOff>
      <xdr:row>23</xdr:row>
      <xdr:rowOff>179294</xdr:rowOff>
    </xdr:from>
    <xdr:to>
      <xdr:col>7</xdr:col>
      <xdr:colOff>22412</xdr:colOff>
      <xdr:row>35</xdr:row>
      <xdr:rowOff>156883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0B56AB9-98EB-4291-BB24-0D0BD4EB4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3675529</xdr:colOff>
      <xdr:row>43</xdr:row>
      <xdr:rowOff>157721</xdr:rowOff>
    </xdr:from>
    <xdr:to>
      <xdr:col>7</xdr:col>
      <xdr:colOff>22412</xdr:colOff>
      <xdr:row>55</xdr:row>
      <xdr:rowOff>22412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05ACE3A-AB4E-42A8-B125-653C99F61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C205-2C7C-4ADD-917D-71AE254F92BF}">
  <dimension ref="A1:V57"/>
  <sheetViews>
    <sheetView tabSelected="1" zoomScale="85" zoomScaleNormal="85" workbookViewId="0">
      <selection activeCell="L5" sqref="L5"/>
    </sheetView>
  </sheetViews>
  <sheetFormatPr baseColWidth="10" defaultRowHeight="15.75" x14ac:dyDescent="0.25"/>
  <cols>
    <col min="1" max="1" width="55.28515625" style="48" customWidth="1"/>
    <col min="2" max="4" width="20.140625" style="41" bestFit="1" customWidth="1"/>
    <col min="5" max="5" width="11.85546875" style="41" bestFit="1" customWidth="1"/>
    <col min="6" max="7" width="11.7109375" style="41" bestFit="1" customWidth="1"/>
    <col min="8" max="9" width="18" style="41" bestFit="1" customWidth="1"/>
    <col min="10" max="12" width="21" style="41" bestFit="1" customWidth="1"/>
    <col min="13" max="13" width="18" style="41" bestFit="1" customWidth="1"/>
    <col min="14" max="14" width="16.5703125" style="41" bestFit="1" customWidth="1"/>
    <col min="15" max="15" width="15" style="41" bestFit="1" customWidth="1"/>
    <col min="16" max="16" width="12" style="41" bestFit="1" customWidth="1"/>
    <col min="17" max="17" width="18" style="41" bestFit="1" customWidth="1"/>
    <col min="18" max="19" width="11.7109375" style="41" bestFit="1" customWidth="1"/>
    <col min="20" max="21" width="16.5703125" style="41" bestFit="1" customWidth="1"/>
    <col min="22" max="22" width="11.7109375" style="41" bestFit="1" customWidth="1"/>
    <col min="23" max="16384" width="11.42578125" style="41"/>
  </cols>
  <sheetData>
    <row r="1" spans="1:22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19</v>
      </c>
      <c r="G1" s="41" t="s">
        <v>20</v>
      </c>
      <c r="H1" s="41" t="s">
        <v>9</v>
      </c>
      <c r="I1" s="41" t="s">
        <v>8</v>
      </c>
      <c r="J1" s="41" t="s">
        <v>7</v>
      </c>
      <c r="K1" s="41" t="s">
        <v>6</v>
      </c>
      <c r="L1" s="41" t="s">
        <v>21</v>
      </c>
      <c r="M1" s="41" t="s">
        <v>10</v>
      </c>
      <c r="N1" s="41" t="s">
        <v>11</v>
      </c>
      <c r="O1" s="41" t="s">
        <v>12</v>
      </c>
      <c r="P1" s="41" t="s">
        <v>7</v>
      </c>
      <c r="Q1" s="41" t="s">
        <v>13</v>
      </c>
      <c r="R1" s="41" t="s">
        <v>14</v>
      </c>
      <c r="S1" s="41" t="s">
        <v>6</v>
      </c>
      <c r="T1" s="41" t="s">
        <v>15</v>
      </c>
      <c r="U1" s="41" t="s">
        <v>16</v>
      </c>
      <c r="V1" s="41" t="s">
        <v>17</v>
      </c>
    </row>
    <row r="2" spans="1:22" x14ac:dyDescent="0.25">
      <c r="A2" s="22" t="s">
        <v>5</v>
      </c>
      <c r="B2" s="22">
        <f>-SUM(H2:H2,I2:I2,J2:J2)-K2</f>
        <v>-1277153.5</v>
      </c>
      <c r="C2" s="22">
        <f xml:space="preserve"> (((R2 / 2) * F2) * L2)*G2</f>
        <v>10125000</v>
      </c>
      <c r="D2" s="22">
        <f>SUM(C2,B2)</f>
        <v>8847846.5</v>
      </c>
      <c r="E2" s="23">
        <f>(C2/(-1*B2))</f>
        <v>7.9277862841075875</v>
      </c>
      <c r="F2" s="24">
        <v>150</v>
      </c>
      <c r="G2" s="25">
        <f>G3*1.5</f>
        <v>7.5</v>
      </c>
      <c r="H2" s="26">
        <f xml:space="preserve"> M2 + N2 + O2</f>
        <v>511753.5</v>
      </c>
      <c r="I2" s="26">
        <f>T2+ (U2 * (R2 / 1000))</f>
        <v>175000</v>
      </c>
      <c r="J2" s="26">
        <f>Q2</f>
        <v>410400</v>
      </c>
      <c r="K2" s="27">
        <f>R2 * S2 *12</f>
        <v>180000</v>
      </c>
      <c r="L2" s="24">
        <f>L3*1.5</f>
        <v>6</v>
      </c>
      <c r="M2" s="26">
        <f>((0.25* 55) * R2) * 12</f>
        <v>495000</v>
      </c>
      <c r="N2" s="26">
        <f xml:space="preserve"> (((6 * R2) / 1000) * 1.7) * 365</f>
        <v>11169</v>
      </c>
      <c r="O2" s="28">
        <f xml:space="preserve"> N2 / 2</f>
        <v>5584.5</v>
      </c>
      <c r="P2" s="21">
        <f xml:space="preserve"> (V2 * 3) * (R2 / 1000)</f>
        <v>9</v>
      </c>
      <c r="Q2" s="26">
        <f xml:space="preserve"> ((P2 * 9.5) * 40) * 120</f>
        <v>410400</v>
      </c>
      <c r="R2" s="21">
        <f>3000 * V2</f>
        <v>3000</v>
      </c>
      <c r="S2" s="27">
        <v>5</v>
      </c>
      <c r="T2" s="26">
        <v>25000</v>
      </c>
      <c r="U2" s="26">
        <f>25000 * 2</f>
        <v>50000</v>
      </c>
      <c r="V2" s="21">
        <v>1</v>
      </c>
    </row>
    <row r="3" spans="1:22" x14ac:dyDescent="0.25">
      <c r="A3" s="29" t="s">
        <v>18</v>
      </c>
      <c r="B3" s="29">
        <f>-SUM(H2:H2,I2:I2,J2:J2)-K3</f>
        <v>-1367153.5</v>
      </c>
      <c r="C3" s="29">
        <f xml:space="preserve"> (((R2 / 2) * F3) * L3)*G3</f>
        <v>3000000</v>
      </c>
      <c r="D3" s="29">
        <f>SUM(C3,B3)</f>
        <v>1632846.5</v>
      </c>
      <c r="E3" s="30">
        <f>(C3/(-1*B3))</f>
        <v>2.1943402843938151</v>
      </c>
      <c r="F3" s="31">
        <v>100</v>
      </c>
      <c r="G3" s="32">
        <v>5</v>
      </c>
      <c r="H3" s="21"/>
      <c r="I3" s="21"/>
      <c r="J3" s="21"/>
      <c r="K3" s="33">
        <f>R2 * S3 *12</f>
        <v>270000</v>
      </c>
      <c r="L3" s="31">
        <v>4</v>
      </c>
      <c r="M3" s="21"/>
      <c r="N3" s="21"/>
      <c r="O3" s="21"/>
      <c r="P3" s="21"/>
      <c r="Q3" s="21"/>
      <c r="R3" s="21"/>
      <c r="S3" s="33">
        <v>7.5</v>
      </c>
      <c r="T3" s="21"/>
      <c r="U3" s="21"/>
    </row>
    <row r="4" spans="1:22" x14ac:dyDescent="0.25">
      <c r="A4" s="34" t="s">
        <v>22</v>
      </c>
      <c r="B4" s="34">
        <f>-SUM(H2:H2,I2:I2,J2:J2)-K4</f>
        <v>-1457153.5</v>
      </c>
      <c r="C4" s="34">
        <f xml:space="preserve"> (((R2 / 2) * F4) * L4)*G4</f>
        <v>375000</v>
      </c>
      <c r="D4" s="34">
        <f>SUM(C4,B4)</f>
        <v>-1082153.5</v>
      </c>
      <c r="E4" s="35">
        <f>(C4/(-1*B4))</f>
        <v>0.25735106150450177</v>
      </c>
      <c r="F4" s="36">
        <v>50</v>
      </c>
      <c r="G4" s="37">
        <f>G3 *0.5</f>
        <v>2.5</v>
      </c>
      <c r="H4" s="21"/>
      <c r="I4" s="21"/>
      <c r="J4" s="21"/>
      <c r="K4" s="38">
        <f>R2 * S4 *12</f>
        <v>360000</v>
      </c>
      <c r="L4" s="36">
        <f>L3*0.5</f>
        <v>2</v>
      </c>
      <c r="M4" s="21"/>
      <c r="N4" s="21"/>
      <c r="O4" s="21"/>
      <c r="P4" s="21"/>
      <c r="Q4" s="21"/>
      <c r="R4" s="21"/>
      <c r="S4" s="38">
        <v>10</v>
      </c>
      <c r="T4" s="21"/>
      <c r="U4" s="21"/>
    </row>
    <row r="5" spans="1:22" x14ac:dyDescent="0.25">
      <c r="A5" s="39" t="s">
        <v>26</v>
      </c>
      <c r="B5"/>
      <c r="E5" s="45"/>
      <c r="G5" s="46">
        <f>(G2+G3+G4)/3</f>
        <v>5</v>
      </c>
    </row>
    <row r="6" spans="1:22" x14ac:dyDescent="0.25">
      <c r="A6" s="42">
        <f>D2</f>
        <v>8847846.5</v>
      </c>
      <c r="D6" s="47"/>
      <c r="I6" s="1" t="s">
        <v>27</v>
      </c>
      <c r="J6" s="2" t="s">
        <v>26</v>
      </c>
      <c r="K6" s="2" t="s">
        <v>25</v>
      </c>
      <c r="L6" s="2" t="s">
        <v>24</v>
      </c>
    </row>
    <row r="7" spans="1:22" x14ac:dyDescent="0.25">
      <c r="A7" s="42">
        <f>A6 *E2</f>
        <v>70143836.126589328</v>
      </c>
      <c r="D7" s="47"/>
      <c r="I7" s="1" t="s">
        <v>1</v>
      </c>
      <c r="J7" s="3">
        <f>-SUM(H2:H2,I2:I2,J2:J2)-K2</f>
        <v>-1277153.5</v>
      </c>
      <c r="K7" s="4">
        <f>-SUM(H2:H2,I2:I2,J2:J2)-K3</f>
        <v>-1367153.5</v>
      </c>
      <c r="L7" s="5">
        <f>-SUM(H2:H2,I2:I2,J2:J2)-K4</f>
        <v>-1457153.5</v>
      </c>
    </row>
    <row r="8" spans="1:22" x14ac:dyDescent="0.25">
      <c r="A8" s="42">
        <f>A7 * E2</f>
        <v>556085341.9590652</v>
      </c>
      <c r="D8" s="47"/>
      <c r="I8" s="1" t="s">
        <v>2</v>
      </c>
      <c r="J8" s="6">
        <f xml:space="preserve"> (((R2 / 2) * F2) * L2)*G2</f>
        <v>10125000</v>
      </c>
      <c r="K8" s="4">
        <f xml:space="preserve"> (((R2 / 2) * F3) * L3)*G3</f>
        <v>3000000</v>
      </c>
      <c r="L8" s="7">
        <f xml:space="preserve"> (((R2 / 2) * F4) * L4)*G4</f>
        <v>375000</v>
      </c>
    </row>
    <row r="9" spans="1:22" x14ac:dyDescent="0.25">
      <c r="A9" s="42">
        <f>A8 * E2</f>
        <v>4408525746.7763548</v>
      </c>
      <c r="D9" s="47"/>
      <c r="I9" s="1" t="s">
        <v>3</v>
      </c>
      <c r="J9" s="8">
        <f>SUM(C2,B2)</f>
        <v>8847846.5</v>
      </c>
      <c r="K9" s="9">
        <f>SUM(C3,B3)</f>
        <v>1632846.5</v>
      </c>
      <c r="L9" s="5">
        <f>SUM(C4,B4)</f>
        <v>-1082153.5</v>
      </c>
    </row>
    <row r="10" spans="1:22" x14ac:dyDescent="0.25">
      <c r="A10" s="42">
        <f>A9 * E2</f>
        <v>34949849948.428741</v>
      </c>
      <c r="D10" s="47"/>
      <c r="I10" s="1" t="s">
        <v>4</v>
      </c>
      <c r="J10" s="10">
        <f>(C2/(-1*B2))</f>
        <v>7.9277862841075875</v>
      </c>
      <c r="K10" s="11">
        <f>(C3/(-1*B3))</f>
        <v>2.1943402843938151</v>
      </c>
      <c r="L10" s="12">
        <f>(C4/(-1*B4))</f>
        <v>0.25735106150450177</v>
      </c>
    </row>
    <row r="11" spans="1:22" x14ac:dyDescent="0.25">
      <c r="A11" s="42">
        <f>A10 * (E2 / 2)</f>
        <v>138537470526.38583</v>
      </c>
      <c r="D11" s="47"/>
      <c r="I11" s="1" t="s">
        <v>19</v>
      </c>
      <c r="J11" s="13">
        <v>150</v>
      </c>
      <c r="K11" s="14">
        <v>100</v>
      </c>
      <c r="L11" s="15">
        <v>85</v>
      </c>
    </row>
    <row r="12" spans="1:22" x14ac:dyDescent="0.25">
      <c r="A12" s="42">
        <f>A11 * (E2 / 2)</f>
        <v>549147729337.02039</v>
      </c>
      <c r="D12" s="47"/>
      <c r="I12" s="1" t="s">
        <v>28</v>
      </c>
      <c r="J12" s="16">
        <v>4.5</v>
      </c>
      <c r="K12" s="17">
        <v>4</v>
      </c>
      <c r="L12" s="18">
        <v>3.5</v>
      </c>
    </row>
    <row r="13" spans="1:22" x14ac:dyDescent="0.25">
      <c r="A13" s="42">
        <f>A12 * (E2 / 2)</f>
        <v>2176762918293.428</v>
      </c>
      <c r="D13" s="47"/>
      <c r="I13" s="1" t="s">
        <v>29</v>
      </c>
      <c r="J13" s="3">
        <f xml:space="preserve"> M2 + N2 + O2</f>
        <v>511753.5</v>
      </c>
      <c r="K13" s="4">
        <f xml:space="preserve"> M2 + N2 + O2</f>
        <v>511753.5</v>
      </c>
      <c r="L13" s="5">
        <f xml:space="preserve"> M2 + N2 + O2</f>
        <v>511753.5</v>
      </c>
    </row>
    <row r="14" spans="1:22" x14ac:dyDescent="0.25">
      <c r="A14" s="42">
        <f>A13 * (E2 / 2)</f>
        <v>8628455603700.3213</v>
      </c>
      <c r="D14" s="47"/>
      <c r="I14" s="1" t="s">
        <v>30</v>
      </c>
      <c r="J14" s="3">
        <f>T2+ (U2 * (R2 / 1000))</f>
        <v>175000</v>
      </c>
      <c r="K14" s="4">
        <f>T2+ (U2 * (R2 / 1000))</f>
        <v>175000</v>
      </c>
      <c r="L14" s="5">
        <f>T2+ (U2 * (R2 / 1000))</f>
        <v>175000</v>
      </c>
    </row>
    <row r="15" spans="1:22" x14ac:dyDescent="0.25">
      <c r="A15" s="42">
        <f>A14*(E2 / 2)</f>
        <v>34202275994023.332</v>
      </c>
      <c r="D15" s="47"/>
      <c r="I15" s="1" t="s">
        <v>7</v>
      </c>
      <c r="J15" s="13">
        <f xml:space="preserve"> (V2 * 3) * (R2 / 1000)</f>
        <v>9</v>
      </c>
      <c r="K15" s="14">
        <f xml:space="preserve"> (V2 * 3) * (R2 / 1000)</f>
        <v>9</v>
      </c>
      <c r="L15" s="19">
        <f xml:space="preserve"> (V2 * 3) * (R2 / 1000)</f>
        <v>9</v>
      </c>
    </row>
    <row r="16" spans="1:22" x14ac:dyDescent="0.25">
      <c r="A16" s="42">
        <f>A15 *( E2/2)</f>
        <v>135574167255340.19</v>
      </c>
      <c r="D16" s="47"/>
      <c r="I16" s="1" t="s">
        <v>32</v>
      </c>
      <c r="J16" s="3">
        <f>R2 * S2 *12</f>
        <v>180000</v>
      </c>
      <c r="K16" s="4">
        <f>R2 * S3 *12</f>
        <v>270000</v>
      </c>
      <c r="L16" s="18">
        <f>R2 * S4 *12</f>
        <v>360000</v>
      </c>
    </row>
    <row r="17" spans="1:12" x14ac:dyDescent="0.25">
      <c r="A17" s="48" t="s">
        <v>23</v>
      </c>
      <c r="I17" s="1" t="s">
        <v>21</v>
      </c>
      <c r="J17" s="13">
        <v>5</v>
      </c>
      <c r="K17" s="14">
        <v>4</v>
      </c>
      <c r="L17" s="19">
        <v>3</v>
      </c>
    </row>
    <row r="18" spans="1:12" x14ac:dyDescent="0.25">
      <c r="A18" s="45">
        <f xml:space="preserve"> A16 / A6</f>
        <v>15322843.502691891</v>
      </c>
      <c r="I18" s="1" t="s">
        <v>10</v>
      </c>
      <c r="J18" s="16">
        <f>((0.25* 55) * R2) * 12</f>
        <v>495000</v>
      </c>
      <c r="K18" s="17">
        <f>((0.25* 55) * R2) * 12</f>
        <v>495000</v>
      </c>
      <c r="L18" s="18">
        <f>((0.25* 55) * R2) * 12</f>
        <v>495000</v>
      </c>
    </row>
    <row r="19" spans="1:12" x14ac:dyDescent="0.25">
      <c r="I19" s="1" t="s">
        <v>11</v>
      </c>
      <c r="J19" s="16">
        <f xml:space="preserve"> (((6 * R2) / 1000) * 1.7) * 365</f>
        <v>11169</v>
      </c>
      <c r="K19" s="17">
        <f xml:space="preserve"> (((6 * R2) / 1000) * 1.7) * 365</f>
        <v>11169</v>
      </c>
      <c r="L19" s="18">
        <f xml:space="preserve"> (((6 * R2) / 1000) * 1.7) * 365</f>
        <v>11169</v>
      </c>
    </row>
    <row r="20" spans="1:12" x14ac:dyDescent="0.25">
      <c r="I20" s="1" t="s">
        <v>12</v>
      </c>
      <c r="J20" s="3">
        <f xml:space="preserve"> N2 / 2</f>
        <v>5584.5</v>
      </c>
      <c r="K20" s="4">
        <f xml:space="preserve"> N2 / 2</f>
        <v>5584.5</v>
      </c>
      <c r="L20" s="5">
        <f xml:space="preserve"> N2 / 2</f>
        <v>5584.5</v>
      </c>
    </row>
    <row r="21" spans="1:12" x14ac:dyDescent="0.25">
      <c r="I21" s="1" t="s">
        <v>31</v>
      </c>
      <c r="J21" s="16">
        <f xml:space="preserve"> ((P2 * 9.5) * 40) * 120</f>
        <v>410400</v>
      </c>
      <c r="K21" s="17">
        <f xml:space="preserve"> ((P2 * 9.5) * 40) * 120</f>
        <v>410400</v>
      </c>
      <c r="L21" s="18">
        <f xml:space="preserve"> ((P2 * 9.5) * 40) * 120</f>
        <v>410400</v>
      </c>
    </row>
    <row r="22" spans="1:12" x14ac:dyDescent="0.25">
      <c r="I22" s="1" t="s">
        <v>14</v>
      </c>
      <c r="J22" s="13">
        <f>3000 * V2</f>
        <v>3000</v>
      </c>
      <c r="K22" s="14">
        <f>3000 * V2</f>
        <v>3000</v>
      </c>
      <c r="L22" s="19">
        <f>3000 * V2</f>
        <v>3000</v>
      </c>
    </row>
    <row r="23" spans="1:12" x14ac:dyDescent="0.25">
      <c r="I23" s="1" t="s">
        <v>6</v>
      </c>
      <c r="J23" s="20">
        <v>5</v>
      </c>
      <c r="K23" s="4">
        <v>7.5</v>
      </c>
      <c r="L23" s="5">
        <v>10</v>
      </c>
    </row>
    <row r="24" spans="1:12" x14ac:dyDescent="0.25">
      <c r="I24" s="1" t="s">
        <v>15</v>
      </c>
      <c r="J24" s="20">
        <v>25000</v>
      </c>
      <c r="K24" s="4">
        <v>25000</v>
      </c>
      <c r="L24" s="5">
        <v>25000</v>
      </c>
    </row>
    <row r="25" spans="1:12" x14ac:dyDescent="0.25">
      <c r="A25" s="49" t="s">
        <v>25</v>
      </c>
      <c r="I25" s="1" t="s">
        <v>16</v>
      </c>
      <c r="J25" s="16">
        <f>25000 * 2</f>
        <v>50000</v>
      </c>
      <c r="K25" s="17">
        <f>25000 * 2</f>
        <v>50000</v>
      </c>
      <c r="L25" s="18">
        <f>25000 * 2</f>
        <v>50000</v>
      </c>
    </row>
    <row r="26" spans="1:12" x14ac:dyDescent="0.25">
      <c r="A26" s="43">
        <f>D3</f>
        <v>1632846.5</v>
      </c>
      <c r="I26" s="1" t="s">
        <v>17</v>
      </c>
      <c r="J26" s="13">
        <v>4</v>
      </c>
      <c r="K26" s="14">
        <v>4</v>
      </c>
      <c r="L26" s="19">
        <v>4</v>
      </c>
    </row>
    <row r="27" spans="1:12" x14ac:dyDescent="0.25">
      <c r="A27" s="43">
        <f>A26 *E3</f>
        <v>3583020.8531814455</v>
      </c>
      <c r="I27" s="40"/>
      <c r="J27" s="40"/>
      <c r="K27" s="40"/>
      <c r="L27" s="40"/>
    </row>
    <row r="28" spans="1:12" x14ac:dyDescent="0.25">
      <c r="A28" s="43">
        <f>A27 *E3</f>
        <v>7862366.9979591435</v>
      </c>
    </row>
    <row r="29" spans="1:12" x14ac:dyDescent="0.25">
      <c r="A29" s="43">
        <f>A28 * E3</f>
        <v>17252708.634310212</v>
      </c>
    </row>
    <row r="30" spans="1:12" x14ac:dyDescent="0.25">
      <c r="A30" s="43">
        <f>A29 *E3</f>
        <v>37858313.571175903</v>
      </c>
    </row>
    <row r="31" spans="1:12" x14ac:dyDescent="0.25">
      <c r="A31" s="43">
        <f>A30 *E3</f>
        <v>83074022.568444356</v>
      </c>
    </row>
    <row r="32" spans="1:12" x14ac:dyDescent="0.25">
      <c r="A32" s="43">
        <f>A31 *E3</f>
        <v>182292674.3085784</v>
      </c>
    </row>
    <row r="33" spans="1:1" x14ac:dyDescent="0.25">
      <c r="A33" s="43">
        <f>A32 *E3</f>
        <v>400012158.78519505</v>
      </c>
    </row>
    <row r="34" spans="1:1" x14ac:dyDescent="0.25">
      <c r="A34" s="43">
        <f>A33 *E3</f>
        <v>877762794.26968884</v>
      </c>
    </row>
    <row r="35" spans="1:1" x14ac:dyDescent="0.25">
      <c r="A35" s="43">
        <f>A34 *E3</f>
        <v>1926110259.6080589</v>
      </c>
    </row>
    <row r="36" spans="1:1" x14ac:dyDescent="0.25">
      <c r="A36" s="43">
        <f>A35 *E3</f>
        <v>4226541334.8421931</v>
      </c>
    </row>
    <row r="37" spans="1:1" x14ac:dyDescent="0.25">
      <c r="A37" s="48" t="s">
        <v>23</v>
      </c>
    </row>
    <row r="38" spans="1:1" x14ac:dyDescent="0.25">
      <c r="A38" s="45">
        <f xml:space="preserve"> A36 / A26</f>
        <v>2588.4498848129283</v>
      </c>
    </row>
    <row r="44" spans="1:1" x14ac:dyDescent="0.25">
      <c r="A44" s="49" t="s">
        <v>24</v>
      </c>
    </row>
    <row r="45" spans="1:1" x14ac:dyDescent="0.25">
      <c r="A45" s="50">
        <f>D4</f>
        <v>-1082153.5</v>
      </c>
    </row>
    <row r="46" spans="1:1" x14ac:dyDescent="0.25">
      <c r="A46" s="44">
        <f>A45 * E4</f>
        <v>-278493.35193581186</v>
      </c>
    </row>
    <row r="47" spans="1:1" x14ac:dyDescent="0.25">
      <c r="A47" s="44">
        <f>A46 * E4</f>
        <v>-71670.559742627971</v>
      </c>
    </row>
    <row r="48" spans="1:1" x14ac:dyDescent="0.25">
      <c r="A48" s="44">
        <f>A47 * E4</f>
        <v>-18444.494628387118</v>
      </c>
    </row>
    <row r="49" spans="1:1" x14ac:dyDescent="0.25">
      <c r="A49" s="44">
        <f>A48 * E4</f>
        <v>-4746.7102715295059</v>
      </c>
    </row>
    <row r="50" spans="1:1" x14ac:dyDescent="0.25">
      <c r="A50" s="44">
        <f>A49 * E4</f>
        <v>-1221.5709270324401</v>
      </c>
    </row>
    <row r="51" spans="1:1" x14ac:dyDescent="0.25">
      <c r="A51" s="44">
        <f>A50 * E4</f>
        <v>-314.37257477483672</v>
      </c>
    </row>
    <row r="52" spans="1:1" x14ac:dyDescent="0.25">
      <c r="A52" s="44">
        <f>A51 * E4</f>
        <v>-80.904115826207587</v>
      </c>
    </row>
    <row r="53" spans="1:1" x14ac:dyDescent="0.25">
      <c r="A53" s="44">
        <f>A52 * E4</f>
        <v>-20.820760087957684</v>
      </c>
    </row>
    <row r="54" spans="1:1" x14ac:dyDescent="0.25">
      <c r="A54" s="44">
        <f>A53 * E4</f>
        <v>-5.3582447099664732</v>
      </c>
    </row>
    <row r="55" spans="1:1" x14ac:dyDescent="0.25">
      <c r="A55" s="44">
        <f>A54 * E4</f>
        <v>-1.378949963910753</v>
      </c>
    </row>
    <row r="56" spans="1:1" x14ac:dyDescent="0.25">
      <c r="A56" s="48" t="s">
        <v>23</v>
      </c>
    </row>
    <row r="57" spans="1:1" x14ac:dyDescent="0.25">
      <c r="A57" s="45">
        <f xml:space="preserve"> A55 / A45</f>
        <v>1.2742646620010496E-6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A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Fabo L.</dc:creator>
  <cp:lastModifiedBy>Fabo L.</cp:lastModifiedBy>
  <cp:lastPrinted>2021-09-01T11:11:35Z</cp:lastPrinted>
  <dcterms:created xsi:type="dcterms:W3CDTF">2021-09-01T06:27:09Z</dcterms:created>
  <dcterms:modified xsi:type="dcterms:W3CDTF">2021-12-05T13:07:28Z</dcterms:modified>
</cp:coreProperties>
</file>