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tables/table3.xml" ContentType="application/vnd.openxmlformats-officedocument.spreadsheetml.table+xml"/>
  <Override PartName="/xl/charts/chartEx6.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Ex7.xml" ContentType="application/vnd.ms-office.chartex+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tables/table6.xml" ContentType="application/vnd.openxmlformats-officedocument.spreadsheetml.table+xml"/>
  <Override PartName="/xl/charts/chart15.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Ex8.xml" ContentType="application/vnd.ms-office.chartex+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fabri\OneDrive\Área de Trabalho\"/>
    </mc:Choice>
  </mc:AlternateContent>
  <xr:revisionPtr revIDLastSave="0" documentId="13_ncr:1_{CDB25711-BAC3-4AE4-9833-B4B9E5D2C3CB}" xr6:coauthVersionLast="47" xr6:coauthVersionMax="47" xr10:uidLastSave="{00000000-0000-0000-0000-000000000000}"/>
  <bookViews>
    <workbookView xWindow="-108" yWindow="-108" windowWidth="23256" windowHeight="12576" tabRatio="708" firstSheet="1" activeTab="1" xr2:uid="{00000000-000D-0000-FFFF-FFFF00000000}"/>
  </bookViews>
  <sheets>
    <sheet name="Tabela" sheetId="1" r:id="rId1"/>
    <sheet name="Variáveis" sheetId="2" r:id="rId2"/>
    <sheet name="Variável Age" sheetId="3" r:id="rId3"/>
    <sheet name="Variável Gender" sheetId="4" r:id="rId4"/>
    <sheet name="Variável City" sheetId="5" r:id="rId5"/>
    <sheet name="Variável Position" sheetId="7" r:id="rId6"/>
    <sheet name="Variável Total years of experie" sheetId="8" r:id="rId7"/>
    <sheet name="Variável experience in Germany" sheetId="9" r:id="rId8"/>
    <sheet name="Variável Seniority level" sheetId="10" r:id="rId9"/>
    <sheet name="Variável Your main technology" sheetId="11" r:id="rId10"/>
    <sheet name="Variável Yearly brutto salary " sheetId="12" r:id="rId11"/>
    <sheet name="Variável Yearly bonus" sheetId="13" r:id="rId12"/>
    <sheet name="Variável Number of vacation day" sheetId="14" r:id="rId13"/>
    <sheet name="Variável Main language at work" sheetId="15" r:id="rId14"/>
    <sheet name="Variável Company size" sheetId="16" r:id="rId15"/>
    <sheet name="Age x Yearly bruto salary" sheetId="17" r:id="rId16"/>
    <sheet name="Gender x Yearly bruto salary" sheetId="18" r:id="rId17"/>
    <sheet name="Position x Yearly bruto salary" sheetId="19" r:id="rId18"/>
    <sheet name="Total years of experience x sal" sheetId="20" r:id="rId19"/>
    <sheet name="Seniority level x salary" sheetId="21" r:id="rId20"/>
  </sheets>
  <definedNames>
    <definedName name="_xlnm._FilterDatabase" localSheetId="0" hidden="1">Tabela!$C$1:$C$1254</definedName>
    <definedName name="_xlchart.v1.0" hidden="1">'Variável Total years of experie'!$P$2:$P$1237</definedName>
    <definedName name="_xlchart.v1.1" hidden="1">'Variável Total years of experie'!$P$2:$P$1238</definedName>
    <definedName name="_xlchart.v1.10" hidden="1">'Gender x Yearly bruto salary'!$Q$4:$Q$1051</definedName>
    <definedName name="_xlchart.v1.11" hidden="1">'Position x Yearly bruto salary'!$N$3</definedName>
    <definedName name="_xlchart.v1.12" hidden="1">'Position x Yearly bruto salary'!$N$4:$N$390</definedName>
    <definedName name="_xlchart.v1.13" hidden="1">'Position x Yearly bruto salary'!$O$3</definedName>
    <definedName name="_xlchart.v1.14" hidden="1">'Position x Yearly bruto salary'!$O$4:$O$390</definedName>
    <definedName name="_xlchart.v1.15" hidden="1">'Position x Yearly bruto salary'!$P$3</definedName>
    <definedName name="_xlchart.v1.16" hidden="1">'Position x Yearly bruto salary'!$P$4:$P$390</definedName>
    <definedName name="_xlchart.v1.17" hidden="1">'Position x Yearly bruto salary'!$Q$3</definedName>
    <definedName name="_xlchart.v1.18" hidden="1">'Position x Yearly bruto salary'!$Q$4:$Q$390</definedName>
    <definedName name="_xlchart.v1.19" hidden="1">'Position x Yearly bruto salary'!$R$3</definedName>
    <definedName name="_xlchart.v1.2" hidden="1">'Variável experience in Germany'!$P$1</definedName>
    <definedName name="_xlchart.v1.20" hidden="1">'Position x Yearly bruto salary'!$R$4:$R$390</definedName>
    <definedName name="_xlchart.v1.21" hidden="1">'Position x Yearly bruto salary'!$S$3</definedName>
    <definedName name="_xlchart.v1.22" hidden="1">'Position x Yearly bruto salary'!$S$4:$S$390</definedName>
    <definedName name="_xlchart.v1.23" hidden="1">'Position x Yearly bruto salary'!$T$3</definedName>
    <definedName name="_xlchart.v1.24" hidden="1">'Position x Yearly bruto salary'!$T$4:$T$390</definedName>
    <definedName name="_xlchart.v1.25" hidden="1">'Seniority level x salary'!$Q$2</definedName>
    <definedName name="_xlchart.v1.26" hidden="1">'Seniority level x salary'!$Q$3:$Q$567</definedName>
    <definedName name="_xlchart.v1.27" hidden="1">'Seniority level x salary'!$R$2</definedName>
    <definedName name="_xlchart.v1.28" hidden="1">'Seniority level x salary'!$R$3:$R$567</definedName>
    <definedName name="_xlchart.v1.29" hidden="1">'Seniority level x salary'!$S$2</definedName>
    <definedName name="_xlchart.v1.3" hidden="1">'Variável experience in Germany'!$P$2:$P$1221</definedName>
    <definedName name="_xlchart.v1.30" hidden="1">'Seniority level x salary'!$S$3:$S$567</definedName>
    <definedName name="_xlchart.v1.31" hidden="1">'Seniority level x salary'!$T$2</definedName>
    <definedName name="_xlchart.v1.32" hidden="1">'Seniority level x salary'!$T$3:$T$567</definedName>
    <definedName name="_xlchart.v1.33" hidden="1">'Seniority level x salary'!$U$2</definedName>
    <definedName name="_xlchart.v1.34" hidden="1">'Seniority level x salary'!$U$3:$U$567</definedName>
    <definedName name="_xlchart.v1.4" hidden="1">'Variável Yearly brutto salary '!$Q$3</definedName>
    <definedName name="_xlchart.v1.5" hidden="1">'Variável Yearly brutto salary '!$Q$4:$Q$1253</definedName>
    <definedName name="_xlchart.v1.6" hidden="1">'Variável Yearly bonus'!$R$2:$R$822</definedName>
    <definedName name="_xlchart.v1.7" hidden="1">'Gender x Yearly bruto salary'!$P$3</definedName>
    <definedName name="_xlchart.v1.8" hidden="1">'Gender x Yearly bruto salary'!$P$4:$P$1051</definedName>
    <definedName name="_xlchart.v1.9" hidden="1">'Gender x Yearly bruto salary'!$Q$3</definedName>
    <definedName name="tabela">Tabela!$A$1:$M$1227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 i="21" l="1"/>
  <c r="F14" i="21"/>
  <c r="E14" i="21"/>
  <c r="D14" i="21"/>
  <c r="G13" i="21"/>
  <c r="F13" i="21"/>
  <c r="E13" i="21"/>
  <c r="D13" i="21"/>
  <c r="G12" i="21"/>
  <c r="F12" i="21"/>
  <c r="E12" i="21"/>
  <c r="D12" i="21"/>
  <c r="G11" i="21"/>
  <c r="F11" i="21"/>
  <c r="E11" i="21"/>
  <c r="D11" i="21"/>
  <c r="G10" i="21"/>
  <c r="F10" i="21"/>
  <c r="E10" i="21"/>
  <c r="D10" i="21"/>
  <c r="C14" i="21"/>
  <c r="C13" i="21"/>
  <c r="C12" i="21"/>
  <c r="C11" i="21"/>
  <c r="C10" i="21"/>
  <c r="C39" i="20"/>
  <c r="L18" i="20"/>
  <c r="L17" i="20"/>
  <c r="L16" i="20"/>
  <c r="L15" i="20"/>
  <c r="L14" i="20"/>
  <c r="L13" i="20"/>
  <c r="L12" i="20"/>
  <c r="L11" i="20"/>
  <c r="L10" i="20"/>
  <c r="L9" i="20"/>
  <c r="L19" i="20" s="1"/>
  <c r="K9" i="20"/>
  <c r="K19" i="20" s="1"/>
  <c r="K18" i="20"/>
  <c r="J18" i="20"/>
  <c r="I18" i="20"/>
  <c r="H18" i="20"/>
  <c r="G18" i="20"/>
  <c r="F18" i="20"/>
  <c r="E18" i="20"/>
  <c r="D18" i="20"/>
  <c r="C18" i="20"/>
  <c r="M18" i="20" s="1"/>
  <c r="K17" i="20"/>
  <c r="J17" i="20"/>
  <c r="I17" i="20"/>
  <c r="H17" i="20"/>
  <c r="G17" i="20"/>
  <c r="F17" i="20"/>
  <c r="E17" i="20"/>
  <c r="D17" i="20"/>
  <c r="K16" i="20"/>
  <c r="J16" i="20"/>
  <c r="I16" i="20"/>
  <c r="H16" i="20"/>
  <c r="G16" i="20"/>
  <c r="F16" i="20"/>
  <c r="E16" i="20"/>
  <c r="D16" i="20"/>
  <c r="K15" i="20"/>
  <c r="J15" i="20"/>
  <c r="I15" i="20"/>
  <c r="H15" i="20"/>
  <c r="G15" i="20"/>
  <c r="F15" i="20"/>
  <c r="E15" i="20"/>
  <c r="D15" i="20"/>
  <c r="K14" i="20"/>
  <c r="J14" i="20"/>
  <c r="I14" i="20"/>
  <c r="H14" i="20"/>
  <c r="G14" i="20"/>
  <c r="F14" i="20"/>
  <c r="E14" i="20"/>
  <c r="D14" i="20"/>
  <c r="K13" i="20"/>
  <c r="J13" i="20"/>
  <c r="I13" i="20"/>
  <c r="H13" i="20"/>
  <c r="G13" i="20"/>
  <c r="F13" i="20"/>
  <c r="E13" i="20"/>
  <c r="D13" i="20"/>
  <c r="K12" i="20"/>
  <c r="J12" i="20"/>
  <c r="I12" i="20"/>
  <c r="H12" i="20"/>
  <c r="G12" i="20"/>
  <c r="F12" i="20"/>
  <c r="E12" i="20"/>
  <c r="D12" i="20"/>
  <c r="K11" i="20"/>
  <c r="J11" i="20"/>
  <c r="I11" i="20"/>
  <c r="H11" i="20"/>
  <c r="G11" i="20"/>
  <c r="F11" i="20"/>
  <c r="E11" i="20"/>
  <c r="D11" i="20"/>
  <c r="K10" i="20"/>
  <c r="J10" i="20"/>
  <c r="I10" i="20"/>
  <c r="H10" i="20"/>
  <c r="G10" i="20"/>
  <c r="F10" i="20"/>
  <c r="E10" i="20"/>
  <c r="D10" i="20"/>
  <c r="J9" i="20"/>
  <c r="J19" i="20" s="1"/>
  <c r="I9" i="20"/>
  <c r="I19" i="20" s="1"/>
  <c r="H9" i="20"/>
  <c r="H19" i="20" s="1"/>
  <c r="G9" i="20"/>
  <c r="G19" i="20" s="1"/>
  <c r="F9" i="20"/>
  <c r="F19" i="20" s="1"/>
  <c r="E9" i="20"/>
  <c r="E19" i="20" s="1"/>
  <c r="D9" i="20"/>
  <c r="D19" i="20" s="1"/>
  <c r="C17" i="20"/>
  <c r="M17" i="20" s="1"/>
  <c r="C16" i="20"/>
  <c r="M16" i="20" s="1"/>
  <c r="C15" i="20"/>
  <c r="M15" i="20" s="1"/>
  <c r="C14" i="20"/>
  <c r="M14" i="20" s="1"/>
  <c r="C13" i="20"/>
  <c r="M13" i="20" s="1"/>
  <c r="C12" i="20"/>
  <c r="M12" i="20" s="1"/>
  <c r="C11" i="20"/>
  <c r="M11" i="20" s="1"/>
  <c r="C10" i="20"/>
  <c r="M10" i="20" s="1"/>
  <c r="C9" i="20"/>
  <c r="C19" i="20" s="1"/>
  <c r="G17" i="19"/>
  <c r="F17" i="19"/>
  <c r="E17" i="19"/>
  <c r="D17" i="19"/>
  <c r="G16" i="19"/>
  <c r="F16" i="19"/>
  <c r="E16" i="19"/>
  <c r="D16" i="19"/>
  <c r="G15" i="19"/>
  <c r="F15" i="19"/>
  <c r="E15" i="19"/>
  <c r="D15" i="19"/>
  <c r="G14" i="19"/>
  <c r="F14" i="19"/>
  <c r="E14" i="19"/>
  <c r="D14" i="19"/>
  <c r="G13" i="19"/>
  <c r="F13" i="19"/>
  <c r="E13" i="19"/>
  <c r="D13" i="19"/>
  <c r="G12" i="19"/>
  <c r="F12" i="19"/>
  <c r="E12" i="19"/>
  <c r="D12" i="19"/>
  <c r="G11" i="19"/>
  <c r="F11" i="19"/>
  <c r="E11" i="19"/>
  <c r="D11" i="19"/>
  <c r="C12" i="19"/>
  <c r="C13" i="19"/>
  <c r="C14" i="19"/>
  <c r="C15" i="19"/>
  <c r="C16" i="19"/>
  <c r="C17" i="19"/>
  <c r="C11" i="19"/>
  <c r="H11" i="17"/>
  <c r="H12" i="17"/>
  <c r="H13" i="17"/>
  <c r="H14" i="17"/>
  <c r="H15" i="17"/>
  <c r="H16" i="17"/>
  <c r="H17" i="17"/>
  <c r="H18" i="17"/>
  <c r="H19" i="17"/>
  <c r="H20" i="17"/>
  <c r="H10" i="17"/>
  <c r="D20" i="17"/>
  <c r="E20" i="17"/>
  <c r="F20" i="17"/>
  <c r="G20" i="17"/>
  <c r="C20" i="17"/>
  <c r="G19" i="17"/>
  <c r="F19" i="17"/>
  <c r="E19" i="17"/>
  <c r="D19" i="17"/>
  <c r="C19" i="17"/>
  <c r="G18" i="17"/>
  <c r="G17" i="17"/>
  <c r="G16" i="17"/>
  <c r="G15" i="17"/>
  <c r="G14" i="17"/>
  <c r="G13" i="17"/>
  <c r="G12" i="17"/>
  <c r="G11" i="17"/>
  <c r="F18" i="17"/>
  <c r="F17" i="17"/>
  <c r="F16" i="17"/>
  <c r="F15" i="17"/>
  <c r="F14" i="17"/>
  <c r="F13" i="17"/>
  <c r="F12" i="17"/>
  <c r="F11" i="17"/>
  <c r="E18" i="17"/>
  <c r="E17" i="17"/>
  <c r="E16" i="17"/>
  <c r="E15" i="17"/>
  <c r="E14" i="17"/>
  <c r="E13" i="17"/>
  <c r="E12" i="17"/>
  <c r="E11" i="17"/>
  <c r="D18" i="17"/>
  <c r="D17" i="17"/>
  <c r="D16" i="17"/>
  <c r="D15" i="17"/>
  <c r="D14" i="17"/>
  <c r="D13" i="17"/>
  <c r="D12" i="17"/>
  <c r="D11" i="17"/>
  <c r="C18" i="17"/>
  <c r="C17" i="17"/>
  <c r="C16" i="17"/>
  <c r="C15" i="17"/>
  <c r="C14" i="17"/>
  <c r="C13" i="17"/>
  <c r="C12" i="17"/>
  <c r="C11" i="17"/>
  <c r="G10" i="17"/>
  <c r="F10" i="17"/>
  <c r="E10" i="17"/>
  <c r="D10" i="17"/>
  <c r="C10" i="17"/>
  <c r="C6" i="16"/>
  <c r="C24" i="11"/>
  <c r="D24" i="11" s="1"/>
  <c r="E24" i="11" s="1"/>
  <c r="C9" i="11"/>
  <c r="C10" i="11"/>
  <c r="C11" i="11"/>
  <c r="C12" i="11"/>
  <c r="C13" i="11"/>
  <c r="C14" i="11"/>
  <c r="C15" i="11"/>
  <c r="C16" i="11"/>
  <c r="C17" i="11"/>
  <c r="C18" i="11"/>
  <c r="C19" i="11"/>
  <c r="C20" i="11"/>
  <c r="C21" i="11"/>
  <c r="C22" i="11"/>
  <c r="C23" i="11"/>
  <c r="C25" i="11"/>
  <c r="C8" i="11"/>
  <c r="G7" i="18"/>
  <c r="G8" i="18"/>
  <c r="G9" i="18"/>
  <c r="M9" i="20" l="1"/>
  <c r="M19" i="20" s="1"/>
  <c r="E9" i="18"/>
  <c r="E8" i="18"/>
  <c r="E7" i="18"/>
  <c r="F9" i="18" l="1"/>
  <c r="F8" i="18"/>
  <c r="F7" i="18"/>
  <c r="D9" i="18"/>
  <c r="D7" i="18"/>
  <c r="D8" i="18"/>
  <c r="C8" i="18"/>
  <c r="C7" i="18"/>
  <c r="C54" i="17"/>
  <c r="C9" i="8"/>
  <c r="C10" i="8"/>
  <c r="C11" i="8"/>
  <c r="C12" i="8"/>
  <c r="C13" i="8"/>
  <c r="C14" i="8"/>
  <c r="C15" i="8"/>
  <c r="C16" i="8"/>
  <c r="C5" i="7"/>
  <c r="C6" i="7"/>
  <c r="C7" i="7"/>
  <c r="C8" i="7"/>
  <c r="C9" i="7"/>
  <c r="C10" i="7"/>
  <c r="C11" i="7"/>
  <c r="C12" i="7"/>
  <c r="C13" i="7"/>
  <c r="C14" i="7"/>
  <c r="C15" i="7"/>
  <c r="C16" i="7"/>
  <c r="D16" i="7" s="1"/>
  <c r="C4" i="7"/>
  <c r="C18" i="7"/>
  <c r="C24" i="14"/>
  <c r="C23" i="14"/>
  <c r="C22" i="14"/>
  <c r="C21" i="14"/>
  <c r="C20" i="14"/>
  <c r="C19" i="14"/>
  <c r="C27" i="13"/>
  <c r="C17" i="13"/>
  <c r="C29" i="13"/>
  <c r="C28" i="13"/>
  <c r="C26" i="13"/>
  <c r="C25" i="13"/>
  <c r="C24" i="13"/>
  <c r="H11" i="12"/>
  <c r="H8" i="12"/>
  <c r="H13" i="12"/>
  <c r="H12" i="12"/>
  <c r="H10" i="12"/>
  <c r="H9" i="12"/>
  <c r="N13" i="9"/>
  <c r="N12" i="9"/>
  <c r="N11" i="9"/>
  <c r="N10" i="9"/>
  <c r="N9" i="9"/>
  <c r="N8" i="9"/>
  <c r="G34" i="8"/>
  <c r="G33" i="8"/>
  <c r="G32" i="8"/>
  <c r="G31" i="8"/>
  <c r="G30" i="8"/>
  <c r="G29" i="8"/>
  <c r="C20" i="3"/>
  <c r="C19" i="3"/>
  <c r="C18" i="3"/>
  <c r="C17" i="3"/>
  <c r="C16" i="3"/>
  <c r="C15" i="3"/>
  <c r="C9" i="18" l="1"/>
  <c r="H7" i="18" s="1"/>
  <c r="I7" i="18" s="1"/>
  <c r="D4" i="7"/>
  <c r="D9" i="7"/>
  <c r="D8" i="7"/>
  <c r="D15" i="7"/>
  <c r="D7" i="7"/>
  <c r="D14" i="7"/>
  <c r="D6" i="7"/>
  <c r="D13" i="7"/>
  <c r="D11" i="7"/>
  <c r="D5" i="7"/>
  <c r="D10" i="7"/>
  <c r="D12" i="7"/>
  <c r="D18" i="7"/>
  <c r="C17" i="7"/>
  <c r="D17" i="7" s="1"/>
  <c r="C7" i="16"/>
  <c r="C9" i="16"/>
  <c r="C8" i="16"/>
  <c r="C5" i="16"/>
  <c r="D11" i="15"/>
  <c r="E11" i="15" s="1"/>
  <c r="C9" i="15"/>
  <c r="D9" i="15" s="1"/>
  <c r="E9" i="15" s="1"/>
  <c r="C6" i="15"/>
  <c r="D6" i="15" s="1"/>
  <c r="E6" i="15" s="1"/>
  <c r="C7" i="15"/>
  <c r="D7" i="15" s="1"/>
  <c r="E7" i="15" s="1"/>
  <c r="C8" i="15"/>
  <c r="D8" i="15" s="1"/>
  <c r="E8" i="15" s="1"/>
  <c r="C5" i="15"/>
  <c r="D5" i="15" s="1"/>
  <c r="E5" i="15" s="1"/>
  <c r="C13" i="14"/>
  <c r="C12" i="14"/>
  <c r="C11" i="14"/>
  <c r="C10" i="14"/>
  <c r="C9" i="14"/>
  <c r="C8" i="14"/>
  <c r="C7" i="14"/>
  <c r="C16" i="13"/>
  <c r="C15" i="13"/>
  <c r="C14" i="13"/>
  <c r="C13" i="13"/>
  <c r="C12" i="13"/>
  <c r="C11" i="13"/>
  <c r="C10" i="13"/>
  <c r="C9" i="13"/>
  <c r="C8" i="13"/>
  <c r="C10" i="12"/>
  <c r="C15" i="12"/>
  <c r="C14" i="12"/>
  <c r="C13" i="12"/>
  <c r="C12" i="12"/>
  <c r="C11" i="12"/>
  <c r="C9" i="12"/>
  <c r="C8" i="12"/>
  <c r="C7" i="12"/>
  <c r="D9" i="11"/>
  <c r="E9" i="11" s="1"/>
  <c r="D10" i="11"/>
  <c r="E10" i="11" s="1"/>
  <c r="D11" i="11"/>
  <c r="E11" i="11" s="1"/>
  <c r="D12" i="11"/>
  <c r="E12" i="11" s="1"/>
  <c r="D13" i="11"/>
  <c r="E13" i="11" s="1"/>
  <c r="D14" i="11"/>
  <c r="E14" i="11" s="1"/>
  <c r="D15" i="11"/>
  <c r="E15" i="11" s="1"/>
  <c r="D16" i="11"/>
  <c r="E16" i="11" s="1"/>
  <c r="D17" i="11"/>
  <c r="E17" i="11" s="1"/>
  <c r="D18" i="11"/>
  <c r="E18" i="11" s="1"/>
  <c r="D19" i="11"/>
  <c r="E19" i="11" s="1"/>
  <c r="D20" i="11"/>
  <c r="E20" i="11" s="1"/>
  <c r="D21" i="11"/>
  <c r="E21" i="11" s="1"/>
  <c r="D23" i="11"/>
  <c r="E23" i="11" s="1"/>
  <c r="D22" i="11"/>
  <c r="E22" i="11" s="1"/>
  <c r="D25" i="11"/>
  <c r="E25" i="11" s="1"/>
  <c r="D27" i="11"/>
  <c r="E27" i="11" s="1"/>
  <c r="D8" i="11"/>
  <c r="E8" i="11" s="1"/>
  <c r="C26" i="11"/>
  <c r="D26" i="11" s="1"/>
  <c r="E26" i="11" s="1"/>
  <c r="E11" i="10"/>
  <c r="F11" i="10" s="1"/>
  <c r="D9" i="10"/>
  <c r="E9" i="10" s="1"/>
  <c r="F9" i="10" s="1"/>
  <c r="D7" i="10"/>
  <c r="E7" i="10" s="1"/>
  <c r="F7" i="10" s="1"/>
  <c r="D6" i="10"/>
  <c r="E6" i="10" s="1"/>
  <c r="F6" i="10" s="1"/>
  <c r="D5" i="10"/>
  <c r="E5" i="10" s="1"/>
  <c r="F5" i="10" s="1"/>
  <c r="D8" i="10"/>
  <c r="E8" i="10" s="1"/>
  <c r="F8" i="10" s="1"/>
  <c r="C13" i="9"/>
  <c r="C12" i="9"/>
  <c r="C11" i="9"/>
  <c r="C10" i="9"/>
  <c r="C9" i="9"/>
  <c r="C8" i="9"/>
  <c r="C7" i="9"/>
  <c r="C8" i="8"/>
  <c r="C7" i="8"/>
  <c r="C10" i="16" l="1"/>
  <c r="D10" i="16" s="1"/>
  <c r="E10" i="16" s="1"/>
  <c r="C10" i="15"/>
  <c r="D10" i="15" s="1"/>
  <c r="E10" i="15" s="1"/>
  <c r="C14" i="14"/>
  <c r="C18" i="13"/>
  <c r="D18" i="13" s="1"/>
  <c r="E18" i="13" s="1"/>
  <c r="C17" i="12"/>
  <c r="D13" i="12" s="1"/>
  <c r="E13" i="12" s="1"/>
  <c r="D10" i="10"/>
  <c r="E10" i="10" s="1"/>
  <c r="F10" i="10" s="1"/>
  <c r="C14" i="9"/>
  <c r="D9" i="9" s="1"/>
  <c r="E9" i="9" s="1"/>
  <c r="C17" i="8"/>
  <c r="D17" i="8" s="1"/>
  <c r="E17" i="8" s="1"/>
  <c r="E9" i="5"/>
  <c r="D5" i="5"/>
  <c r="E5" i="5" s="1"/>
  <c r="D6" i="5"/>
  <c r="E6" i="5" s="1"/>
  <c r="D7" i="5"/>
  <c r="E7" i="5" s="1"/>
  <c r="D8" i="5"/>
  <c r="E8" i="5" s="1"/>
  <c r="D9" i="5"/>
  <c r="D10" i="5"/>
  <c r="E10" i="5" s="1"/>
  <c r="D11" i="5"/>
  <c r="E11" i="5" s="1"/>
  <c r="D13" i="5"/>
  <c r="E13" i="5" s="1"/>
  <c r="D4" i="5"/>
  <c r="E4" i="5" s="1"/>
  <c r="C12" i="5"/>
  <c r="D12" i="5" s="1"/>
  <c r="E12" i="5" s="1"/>
  <c r="C6" i="4"/>
  <c r="C5" i="4"/>
  <c r="C5" i="3"/>
  <c r="C9" i="3"/>
  <c r="C8" i="3"/>
  <c r="C7" i="3"/>
  <c r="C6" i="3"/>
  <c r="E9" i="7" l="1"/>
  <c r="E8" i="7"/>
  <c r="E6" i="7"/>
  <c r="E12" i="7"/>
  <c r="E10" i="7"/>
  <c r="E5" i="7"/>
  <c r="E14" i="7"/>
  <c r="E11" i="7"/>
  <c r="E13" i="7"/>
  <c r="E18" i="7"/>
  <c r="E4" i="7"/>
  <c r="E16" i="7"/>
  <c r="E15" i="7"/>
  <c r="E7" i="7"/>
  <c r="E17" i="7"/>
  <c r="D5" i="16"/>
  <c r="E5" i="16" s="1"/>
  <c r="D9" i="16"/>
  <c r="E9" i="16" s="1"/>
  <c r="D8" i="16"/>
  <c r="E8" i="16" s="1"/>
  <c r="D6" i="16"/>
  <c r="E6" i="16" s="1"/>
  <c r="D7" i="16"/>
  <c r="E7" i="16" s="1"/>
  <c r="D12" i="14"/>
  <c r="E12" i="14" s="1"/>
  <c r="D13" i="14"/>
  <c r="E13" i="14" s="1"/>
  <c r="D14" i="14"/>
  <c r="E14" i="14" s="1"/>
  <c r="D9" i="14"/>
  <c r="E9" i="14" s="1"/>
  <c r="D8" i="14"/>
  <c r="E8" i="14" s="1"/>
  <c r="D7" i="14"/>
  <c r="E7" i="14" s="1"/>
  <c r="D11" i="14"/>
  <c r="E11" i="14" s="1"/>
  <c r="D10" i="14"/>
  <c r="E10" i="14" s="1"/>
  <c r="D15" i="8"/>
  <c r="E15" i="8" s="1"/>
  <c r="D12" i="13"/>
  <c r="E12" i="13" s="1"/>
  <c r="D11" i="13"/>
  <c r="E11" i="13" s="1"/>
  <c r="D16" i="13"/>
  <c r="E16" i="13" s="1"/>
  <c r="D10" i="13"/>
  <c r="E10" i="13" s="1"/>
  <c r="D17" i="13"/>
  <c r="E17" i="13" s="1"/>
  <c r="D9" i="13"/>
  <c r="E9" i="13" s="1"/>
  <c r="D14" i="13"/>
  <c r="E14" i="13" s="1"/>
  <c r="D8" i="13"/>
  <c r="E8" i="13" s="1"/>
  <c r="D13" i="13"/>
  <c r="E13" i="13" s="1"/>
  <c r="D15" i="13"/>
  <c r="E15" i="13" s="1"/>
  <c r="D9" i="8"/>
  <c r="E9" i="8" s="1"/>
  <c r="D7" i="12"/>
  <c r="E7" i="12" s="1"/>
  <c r="D15" i="12"/>
  <c r="E15" i="12" s="1"/>
  <c r="D16" i="12"/>
  <c r="E16" i="12" s="1"/>
  <c r="D14" i="12"/>
  <c r="E14" i="12" s="1"/>
  <c r="D11" i="12"/>
  <c r="E11" i="12" s="1"/>
  <c r="D8" i="12"/>
  <c r="E8" i="12" s="1"/>
  <c r="D17" i="12"/>
  <c r="E17" i="12" s="1"/>
  <c r="D12" i="12"/>
  <c r="E12" i="12" s="1"/>
  <c r="D10" i="12"/>
  <c r="E10" i="12" s="1"/>
  <c r="D9" i="12"/>
  <c r="E9" i="12" s="1"/>
  <c r="D13" i="8"/>
  <c r="E13" i="8" s="1"/>
  <c r="D10" i="9"/>
  <c r="E10" i="9" s="1"/>
  <c r="D8" i="9"/>
  <c r="E8" i="9" s="1"/>
  <c r="D11" i="9"/>
  <c r="E11" i="9" s="1"/>
  <c r="D7" i="9"/>
  <c r="E7" i="9" s="1"/>
  <c r="D14" i="8"/>
  <c r="E14" i="8" s="1"/>
  <c r="D12" i="9"/>
  <c r="E12" i="9" s="1"/>
  <c r="D16" i="8"/>
  <c r="E16" i="8" s="1"/>
  <c r="D10" i="8"/>
  <c r="E10" i="8" s="1"/>
  <c r="D8" i="8"/>
  <c r="E8" i="8" s="1"/>
  <c r="D13" i="9"/>
  <c r="E13" i="9" s="1"/>
  <c r="D14" i="9"/>
  <c r="E14" i="9" s="1"/>
  <c r="D11" i="8"/>
  <c r="E11" i="8" s="1"/>
  <c r="D7" i="8"/>
  <c r="E7" i="8" s="1"/>
  <c r="D12" i="8"/>
  <c r="E12" i="8" s="1"/>
  <c r="C7" i="4"/>
  <c r="D7" i="4" s="1"/>
  <c r="E7" i="4" s="1"/>
  <c r="C10" i="3"/>
  <c r="D10" i="3" s="1"/>
  <c r="E10" i="3" s="1"/>
  <c r="D5" i="4" l="1"/>
  <c r="E5" i="4" s="1"/>
  <c r="D7" i="3"/>
  <c r="E7" i="3" s="1"/>
  <c r="D9" i="3"/>
  <c r="E9" i="3" s="1"/>
  <c r="D6" i="3"/>
  <c r="E6" i="3" s="1"/>
  <c r="D6" i="4"/>
  <c r="E6" i="4" s="1"/>
  <c r="D8" i="3"/>
  <c r="E8" i="3" s="1"/>
  <c r="D5" i="3"/>
  <c r="E5" i="3" s="1"/>
</calcChain>
</file>

<file path=xl/sharedStrings.xml><?xml version="1.0" encoding="utf-8"?>
<sst xmlns="http://schemas.openxmlformats.org/spreadsheetml/2006/main" count="12734" uniqueCount="561">
  <si>
    <t>Age</t>
  </si>
  <si>
    <t>Gender</t>
  </si>
  <si>
    <t>City</t>
  </si>
  <si>
    <t xml:space="preserve">Position </t>
  </si>
  <si>
    <t>Total years of experience</t>
  </si>
  <si>
    <t>Years of experience in Germany</t>
  </si>
  <si>
    <t>Seniority level</t>
  </si>
  <si>
    <t>Your main technology / programming language</t>
  </si>
  <si>
    <t>Yearly brutto salary (without bonus and stocks) in EUR</t>
  </si>
  <si>
    <t>Yearly bonus + stocks in EUR</t>
  </si>
  <si>
    <t>Number of vacation days</t>
  </si>
  <si>
    <t>Main language at work</t>
  </si>
  <si>
    <t>Company size</t>
  </si>
  <si>
    <t>Male</t>
  </si>
  <si>
    <t>Munich</t>
  </si>
  <si>
    <t>Software Engineer</t>
  </si>
  <si>
    <t>Senior</t>
  </si>
  <si>
    <t>TypeScript</t>
  </si>
  <si>
    <t>English</t>
  </si>
  <si>
    <t>51-100</t>
  </si>
  <si>
    <t>Berlin</t>
  </si>
  <si>
    <t>Backend Developer</t>
  </si>
  <si>
    <t>Ruby</t>
  </si>
  <si>
    <t>101-1000</t>
  </si>
  <si>
    <t>Lead</t>
  </si>
  <si>
    <t>Frontend Developer</t>
  </si>
  <si>
    <t>Junior</t>
  </si>
  <si>
    <t>DevOps</t>
  </si>
  <si>
    <t>Middle</t>
  </si>
  <si>
    <t>Typescript</t>
  </si>
  <si>
    <t>1000+</t>
  </si>
  <si>
    <t>PHP</t>
  </si>
  <si>
    <t>Java</t>
  </si>
  <si>
    <t>Female</t>
  </si>
  <si>
    <t>Hamburg</t>
  </si>
  <si>
    <t>Data Engineer</t>
  </si>
  <si>
    <t>German</t>
  </si>
  <si>
    <t>C++</t>
  </si>
  <si>
    <t>Designer (UI/UX)</t>
  </si>
  <si>
    <t>Wolfsburg</t>
  </si>
  <si>
    <t>Kotlin</t>
  </si>
  <si>
    <t>Product Manager</t>
  </si>
  <si>
    <t>SQL</t>
  </si>
  <si>
    <t>Mobile Developer</t>
  </si>
  <si>
    <t>Software Architect</t>
  </si>
  <si>
    <t>Team Lead</t>
  </si>
  <si>
    <t>iOS</t>
  </si>
  <si>
    <t>Kubernetes</t>
  </si>
  <si>
    <t>Test manager</t>
  </si>
  <si>
    <t>Charles</t>
  </si>
  <si>
    <t>Python</t>
  </si>
  <si>
    <t>Go</t>
  </si>
  <si>
    <t>QA Engineer</t>
  </si>
  <si>
    <t>Data Scientist</t>
  </si>
  <si>
    <t>Figma</t>
  </si>
  <si>
    <t>JavaScript</t>
  </si>
  <si>
    <t>React</t>
  </si>
  <si>
    <t>Ð¡#</t>
  </si>
  <si>
    <t>.NET</t>
  </si>
  <si>
    <t>Stuttgart</t>
  </si>
  <si>
    <t>Hardware Engineer</t>
  </si>
  <si>
    <t>Hardware</t>
  </si>
  <si>
    <t>Head</t>
  </si>
  <si>
    <t>Schleswig-Holstein</t>
  </si>
  <si>
    <t>C#</t>
  </si>
  <si>
    <t>London</t>
  </si>
  <si>
    <t>Google Cloud Platform</t>
  </si>
  <si>
    <t>up to 10</t>
  </si>
  <si>
    <t>Konstanz area</t>
  </si>
  <si>
    <t>Engineering Manager</t>
  </si>
  <si>
    <t>Frankfurt</t>
  </si>
  <si>
    <t>Scala</t>
  </si>
  <si>
    <t>Analytics engineer</t>
  </si>
  <si>
    <t>Localization producer</t>
  </si>
  <si>
    <t>VHDL</t>
  </si>
  <si>
    <t>Reporting Engineer</t>
  </si>
  <si>
    <t>Power BI</t>
  </si>
  <si>
    <t>Account Managet</t>
  </si>
  <si>
    <t>No level</t>
  </si>
  <si>
    <t>Android</t>
  </si>
  <si>
    <t>Swift</t>
  </si>
  <si>
    <t>ML Engineer</t>
  </si>
  <si>
    <t>ML</t>
  </si>
  <si>
    <t>Solution Architect</t>
  </si>
  <si>
    <t>Cologne</t>
  </si>
  <si>
    <t>BI Consultant</t>
  </si>
  <si>
    <t>Kempten</t>
  </si>
  <si>
    <t>Fullstack Developer</t>
  </si>
  <si>
    <t>English and German</t>
  </si>
  <si>
    <t>Ml/Python</t>
  </si>
  <si>
    <t>Cloud Architect</t>
  </si>
  <si>
    <t>Cloud</t>
  </si>
  <si>
    <t>System Administrator</t>
  </si>
  <si>
    <t>MÃ¼nster</t>
  </si>
  <si>
    <t>Erlangen</t>
  </si>
  <si>
    <t>Project Manager</t>
  </si>
  <si>
    <t>Frontend</t>
  </si>
  <si>
    <t>Vienna</t>
  </si>
  <si>
    <t>yaml</t>
  </si>
  <si>
    <t xml:space="preserve">Network Engineer </t>
  </si>
  <si>
    <t>VP Engineering</t>
  </si>
  <si>
    <t>VP</t>
  </si>
  <si>
    <t>Moldova</t>
  </si>
  <si>
    <t>Agile Coach</t>
  </si>
  <si>
    <t>Rosenheim</t>
  </si>
  <si>
    <t>Data Science Manager</t>
  </si>
  <si>
    <t>Manager</t>
  </si>
  <si>
    <t>Scrum Master</t>
  </si>
  <si>
    <t>Agile</t>
  </si>
  <si>
    <t xml:space="preserve">Mannheim </t>
  </si>
  <si>
    <t>Firmware Engineer</t>
  </si>
  <si>
    <t>C</t>
  </si>
  <si>
    <t xml:space="preserve">Pegasystems platform </t>
  </si>
  <si>
    <t>Solutions Architect</t>
  </si>
  <si>
    <t>Data Center Manager</t>
  </si>
  <si>
    <t>Work Center Manager</t>
  </si>
  <si>
    <t>DC Management</t>
  </si>
  <si>
    <t>Boeblingen</t>
  </si>
  <si>
    <t>Golang</t>
  </si>
  <si>
    <t>C/C++/Java developer</t>
  </si>
  <si>
    <t>DevOps Manager</t>
  </si>
  <si>
    <t>DÃ¼sseldorf</t>
  </si>
  <si>
    <t>Node.js</t>
  </si>
  <si>
    <t>Ingolstadt</t>
  </si>
  <si>
    <t>R</t>
  </si>
  <si>
    <t>Bash</t>
  </si>
  <si>
    <t>Tech Lead</t>
  </si>
  <si>
    <t>Network Administrator</t>
  </si>
  <si>
    <t>Network</t>
  </si>
  <si>
    <t>Security Manager</t>
  </si>
  <si>
    <t>Consultant Data Analytics</t>
  </si>
  <si>
    <t>BI IT Consultant</t>
  </si>
  <si>
    <t>Graphic Designer</t>
  </si>
  <si>
    <t>NÃ¼rnberg</t>
  </si>
  <si>
    <t>iOS Developer</t>
  </si>
  <si>
    <t>Banker</t>
  </si>
  <si>
    <t>Cloud Engineer</t>
  </si>
  <si>
    <t>Ansbach</t>
  </si>
  <si>
    <t>Solutions architect</t>
  </si>
  <si>
    <t>Blockchain</t>
  </si>
  <si>
    <t>Leipzig</t>
  </si>
  <si>
    <t>Angular</t>
  </si>
  <si>
    <t>Senior Program Manager</t>
  </si>
  <si>
    <t>Autonomous Driving</t>
  </si>
  <si>
    <t>Mannheim</t>
  </si>
  <si>
    <t>DB developer/Data analyst</t>
  </si>
  <si>
    <t>T-SQL</t>
  </si>
  <si>
    <t>Security Engineer</t>
  </si>
  <si>
    <t>Business Analyst</t>
  </si>
  <si>
    <t>DBA</t>
  </si>
  <si>
    <t>Oracle</t>
  </si>
  <si>
    <t>Support Engineer</t>
  </si>
  <si>
    <t>Elixir</t>
  </si>
  <si>
    <t>Erlang</t>
  </si>
  <si>
    <t>Consultant</t>
  </si>
  <si>
    <t>Diverse</t>
  </si>
  <si>
    <t>Tuttlingen</t>
  </si>
  <si>
    <t>Recruiter</t>
  </si>
  <si>
    <t>unlimited</t>
  </si>
  <si>
    <t>Testautomation</t>
  </si>
  <si>
    <t>Bonn</t>
  </si>
  <si>
    <t>Objective-C</t>
  </si>
  <si>
    <t>QA</t>
  </si>
  <si>
    <t>Moscow</t>
  </si>
  <si>
    <t>Russian</t>
  </si>
  <si>
    <t>SAP Developer</t>
  </si>
  <si>
    <t>ABAP</t>
  </si>
  <si>
    <t>Koblenz</t>
  </si>
  <si>
    <t>Systemadministrator</t>
  </si>
  <si>
    <t>Warsaw</t>
  </si>
  <si>
    <t>Polish</t>
  </si>
  <si>
    <t>SW Architect</t>
  </si>
  <si>
    <t>Heidelberg</t>
  </si>
  <si>
    <t>SRE</t>
  </si>
  <si>
    <t>Karlsruhe</t>
  </si>
  <si>
    <t>50/50</t>
  </si>
  <si>
    <t>Linux</t>
  </si>
  <si>
    <t>KÃ¶ln</t>
  </si>
  <si>
    <t>Fullstack engineer, Ð½Ñƒ Ð¸Ð»Ð¸ Software engineer</t>
  </si>
  <si>
    <t>Aachen</t>
  </si>
  <si>
    <t>HiWi</t>
  </si>
  <si>
    <t xml:space="preserve">Golang </t>
  </si>
  <si>
    <t xml:space="preserve">unlimited </t>
  </si>
  <si>
    <t xml:space="preserve">Karlsruhe </t>
  </si>
  <si>
    <t>Samara</t>
  </si>
  <si>
    <t xml:space="preserve">Salesforce </t>
  </si>
  <si>
    <t>Riga, Latvia</t>
  </si>
  <si>
    <t>Dusseldorf</t>
  </si>
  <si>
    <t>Zurich</t>
  </si>
  <si>
    <t>Project manager</t>
  </si>
  <si>
    <t>(no idea)</t>
  </si>
  <si>
    <t>Architect</t>
  </si>
  <si>
    <t>Helsinki</t>
  </si>
  <si>
    <t>WÃ¼rzburg</t>
  </si>
  <si>
    <t>Technical Lead</t>
  </si>
  <si>
    <t>Kiev</t>
  </si>
  <si>
    <t>Web developer</t>
  </si>
  <si>
    <t>Ð ÑƒÑÑÐºÐ¸Ð¹</t>
  </si>
  <si>
    <t>Den Haag</t>
  </si>
  <si>
    <t>Amsterdam</t>
  </si>
  <si>
    <t>Tech Lead / Full-Stack</t>
  </si>
  <si>
    <t>30 in contract (but theoretically unlimited)</t>
  </si>
  <si>
    <t>Terraform</t>
  </si>
  <si>
    <t>Cracovia</t>
  </si>
  <si>
    <t>Marketing Analyst</t>
  </si>
  <si>
    <t>CTO</t>
  </si>
  <si>
    <t>Apache Spark</t>
  </si>
  <si>
    <t>Tallinn</t>
  </si>
  <si>
    <t>Prague</t>
  </si>
  <si>
    <t>Czech</t>
  </si>
  <si>
    <t>Utrecht</t>
  </si>
  <si>
    <t>Senior Network&amp;Security Eng.</t>
  </si>
  <si>
    <t xml:space="preserve">Computer Networking,  Network Security </t>
  </si>
  <si>
    <t xml:space="preserve">Software tester </t>
  </si>
  <si>
    <t xml:space="preserve">No level </t>
  </si>
  <si>
    <t>Stockholm</t>
  </si>
  <si>
    <t xml:space="preserve">Braunschweig </t>
  </si>
  <si>
    <t xml:space="preserve">SAP BW Senior Consultant </t>
  </si>
  <si>
    <t>Dresden</t>
  </si>
  <si>
    <t>Kyiv</t>
  </si>
  <si>
    <t xml:space="preserve">Stuttgart </t>
  </si>
  <si>
    <t xml:space="preserve">QA Manager </t>
  </si>
  <si>
    <t>Qml</t>
  </si>
  <si>
    <t>Director of Engineering</t>
  </si>
  <si>
    <t>Director</t>
  </si>
  <si>
    <t>IT Spezialist</t>
  </si>
  <si>
    <t>AWS</t>
  </si>
  <si>
    <t>Malta</t>
  </si>
  <si>
    <t>LÃ¼beck</t>
  </si>
  <si>
    <t xml:space="preserve">Nuremberg </t>
  </si>
  <si>
    <t xml:space="preserve">Consultant </t>
  </si>
  <si>
    <t>Data Analyst</t>
  </si>
  <si>
    <t>Bodensee</t>
  </si>
  <si>
    <t>Software Developer in Test</t>
  </si>
  <si>
    <t xml:space="preserve">Technical account manager </t>
  </si>
  <si>
    <t>Key</t>
  </si>
  <si>
    <t xml:space="preserve">Unlimited </t>
  </si>
  <si>
    <t>Milan</t>
  </si>
  <si>
    <t>Italian</t>
  </si>
  <si>
    <t>Tech Leader</t>
  </si>
  <si>
    <t>Salzburg</t>
  </si>
  <si>
    <t>Chief Research Officer</t>
  </si>
  <si>
    <t>C-level executive manager</t>
  </si>
  <si>
    <t xml:space="preserve">Terraform </t>
  </si>
  <si>
    <t>Rome</t>
  </si>
  <si>
    <t xml:space="preserve">Presales Engineer </t>
  </si>
  <si>
    <t>Freelance AI lead / advisor</t>
  </si>
  <si>
    <t xml:space="preserve">React </t>
  </si>
  <si>
    <t xml:space="preserve">Business Development Manager Operations </t>
  </si>
  <si>
    <t xml:space="preserve">Business Development Manager Operation </t>
  </si>
  <si>
    <t>Program Manager</t>
  </si>
  <si>
    <t>Management</t>
  </si>
  <si>
    <t>Researcher</t>
  </si>
  <si>
    <t>Engineering manager</t>
  </si>
  <si>
    <t>Principal</t>
  </si>
  <si>
    <t>intern</t>
  </si>
  <si>
    <t>Embedded Software Engineer</t>
  </si>
  <si>
    <t>Wroclaw</t>
  </si>
  <si>
    <t>Dana Analyst</t>
  </si>
  <si>
    <t>Team Manager</t>
  </si>
  <si>
    <t>Cupertino</t>
  </si>
  <si>
    <t>Deuglisch</t>
  </si>
  <si>
    <t xml:space="preserve">Data Analyst </t>
  </si>
  <si>
    <t>Paris</t>
  </si>
  <si>
    <t>DWH</t>
  </si>
  <si>
    <t xml:space="preserve">Dublin </t>
  </si>
  <si>
    <t>Azure</t>
  </si>
  <si>
    <t>Paderborn</t>
  </si>
  <si>
    <t>~25</t>
  </si>
  <si>
    <t>k8s</t>
  </si>
  <si>
    <t>FBD</t>
  </si>
  <si>
    <t>Student</t>
  </si>
  <si>
    <t>Embedded</t>
  </si>
  <si>
    <t xml:space="preserve">Architect </t>
  </si>
  <si>
    <t>Konstanz</t>
  </si>
  <si>
    <t>Head of Engineering</t>
  </si>
  <si>
    <t>Ulm</t>
  </si>
  <si>
    <t>SAP Consultant</t>
  </si>
  <si>
    <t xml:space="preserve">DÃ¼sseldorf </t>
  </si>
  <si>
    <t>Barcelona</t>
  </si>
  <si>
    <t>BI Consultant SAP/ Data Engineer</t>
  </si>
  <si>
    <t>BÃ¶lingen</t>
  </si>
  <si>
    <t xml:space="preserve">no idea, there are no ranges in the firm </t>
  </si>
  <si>
    <t>UML</t>
  </si>
  <si>
    <t>Spark</t>
  </si>
  <si>
    <t>Cobol</t>
  </si>
  <si>
    <t>Perl</t>
  </si>
  <si>
    <t>Clojure</t>
  </si>
  <si>
    <t>Tampere (Finland)</t>
  </si>
  <si>
    <t>computer vision researcher</t>
  </si>
  <si>
    <t>Spring</t>
  </si>
  <si>
    <t>Teamlead</t>
  </si>
  <si>
    <t>Hannover</t>
  </si>
  <si>
    <t>Bucharest</t>
  </si>
  <si>
    <t>ÐžÑ„Ð¼Ñ„</t>
  </si>
  <si>
    <t>Siegen</t>
  </si>
  <si>
    <t>23+</t>
  </si>
  <si>
    <t>Senior Data Engineer</t>
  </si>
  <si>
    <t>Minsk</t>
  </si>
  <si>
    <t>Analyst</t>
  </si>
  <si>
    <t>IT Manager</t>
  </si>
  <si>
    <t>Nuremberg</t>
  </si>
  <si>
    <t xml:space="preserve">Head of IT </t>
  </si>
  <si>
    <t>Marseille</t>
  </si>
  <si>
    <t>Friedrichshafen</t>
  </si>
  <si>
    <t>Lead Software Developer</t>
  </si>
  <si>
    <t>data engineer</t>
  </si>
  <si>
    <t>Walldorf</t>
  </si>
  <si>
    <t>Tech recruiting</t>
  </si>
  <si>
    <t>Eindhoven</t>
  </si>
  <si>
    <t>AI</t>
  </si>
  <si>
    <t>France</t>
  </si>
  <si>
    <t>French</t>
  </si>
  <si>
    <t>Regensburg</t>
  </si>
  <si>
    <t>Warsaw, Poland</t>
  </si>
  <si>
    <t>C-Level</t>
  </si>
  <si>
    <t xml:space="preserve">BI Analyst </t>
  </si>
  <si>
    <t>BI Developer / Data Engineer</t>
  </si>
  <si>
    <t>PM tools</t>
  </si>
  <si>
    <t>Heilbronn</t>
  </si>
  <si>
    <t>Senior Scrum Master (RTE)</t>
  </si>
  <si>
    <t>Head of BI</t>
  </si>
  <si>
    <t>Technical project manager</t>
  </si>
  <si>
    <t xml:space="preserve">Project manager </t>
  </si>
  <si>
    <t>support engineer</t>
  </si>
  <si>
    <t>Dortmund</t>
  </si>
  <si>
    <t>Security engineer</t>
  </si>
  <si>
    <t>both</t>
  </si>
  <si>
    <t>Unlimited</t>
  </si>
  <si>
    <t>Jena</t>
  </si>
  <si>
    <t>City in Russia</t>
  </si>
  <si>
    <t>Haskell</t>
  </si>
  <si>
    <t>Big Data Engineer</t>
  </si>
  <si>
    <t>Cracow</t>
  </si>
  <si>
    <t>Brunswick</t>
  </si>
  <si>
    <t>Dublin</t>
  </si>
  <si>
    <t>Madrid</t>
  </si>
  <si>
    <t>24 labour days</t>
  </si>
  <si>
    <t>Spanish</t>
  </si>
  <si>
    <t>Lisbon</t>
  </si>
  <si>
    <t>Sofia</t>
  </si>
  <si>
    <t xml:space="preserve">Manager </t>
  </si>
  <si>
    <t>Professor</t>
  </si>
  <si>
    <t>AI Management</t>
  </si>
  <si>
    <t>Luttich</t>
  </si>
  <si>
    <t>Milano</t>
  </si>
  <si>
    <t xml:space="preserve">Sales </t>
  </si>
  <si>
    <t>Bielefeld</t>
  </si>
  <si>
    <t>Working Student</t>
  </si>
  <si>
    <t>XR Developer</t>
  </si>
  <si>
    <t>PowerShell</t>
  </si>
  <si>
    <t>Basel</t>
  </si>
  <si>
    <t>NJ, USA</t>
  </si>
  <si>
    <t>Student, Software Developer, Data Engineer</t>
  </si>
  <si>
    <t>Entry level</t>
  </si>
  <si>
    <t>Engineering Team Lead</t>
  </si>
  <si>
    <t>Istanbul</t>
  </si>
  <si>
    <t>warsaw</t>
  </si>
  <si>
    <t>Hildesheim</t>
  </si>
  <si>
    <t>DataOps Team Lead</t>
  </si>
  <si>
    <t>Software Sales</t>
  </si>
  <si>
    <t xml:space="preserve">Heidelberg </t>
  </si>
  <si>
    <t xml:space="preserve">Murnau am Staffelsee </t>
  </si>
  <si>
    <t>Beikoch</t>
  </si>
  <si>
    <t>Apotheker</t>
  </si>
  <si>
    <t>ZÃ¼rich</t>
  </si>
  <si>
    <t>Product Management Praktikant</t>
  </si>
  <si>
    <t>Intern</t>
  </si>
  <si>
    <t>Innsbruck</t>
  </si>
  <si>
    <t>Tricentis Tosca</t>
  </si>
  <si>
    <t xml:space="preserve">Brussels </t>
  </si>
  <si>
    <t>Russian, English</t>
  </si>
  <si>
    <t>Product Analyst</t>
  </si>
  <si>
    <t xml:space="preserve">Hildesheim </t>
  </si>
  <si>
    <t>Team lead</t>
  </si>
  <si>
    <t xml:space="preserve">It Consulting </t>
  </si>
  <si>
    <t xml:space="preserve">Test Management </t>
  </si>
  <si>
    <t>Prefer not to say</t>
  </si>
  <si>
    <t>Dusseldurf</t>
  </si>
  <si>
    <t>Fr</t>
  </si>
  <si>
    <t>Staff Engineer</t>
  </si>
  <si>
    <t>Head of IT</t>
  </si>
  <si>
    <t>Computational linguist</t>
  </si>
  <si>
    <t>Rentner</t>
  </si>
  <si>
    <t>Darmstadt</t>
  </si>
  <si>
    <t>Full-Stack Developer</t>
  </si>
  <si>
    <t>Duesseldorf</t>
  </si>
  <si>
    <t>Cambridge</t>
  </si>
  <si>
    <t>QA Manager</t>
  </si>
  <si>
    <t>QA Lead</t>
  </si>
  <si>
    <t>Brussels</t>
  </si>
  <si>
    <t>Robotics Engineer</t>
  </si>
  <si>
    <t>Copenhagen</t>
  </si>
  <si>
    <t>Sevilla</t>
  </si>
  <si>
    <t>GCP</t>
  </si>
  <si>
    <t>Web</t>
  </si>
  <si>
    <t>PL/SQL</t>
  </si>
  <si>
    <t>Application Consultant</t>
  </si>
  <si>
    <t>SAP</t>
  </si>
  <si>
    <t>Krakow</t>
  </si>
  <si>
    <t>Magento</t>
  </si>
  <si>
    <t>Lead Developer</t>
  </si>
  <si>
    <t>student</t>
  </si>
  <si>
    <t>Software Architekt</t>
  </si>
  <si>
    <t xml:space="preserve">Ingolstadt </t>
  </si>
  <si>
    <t>Self employed</t>
  </si>
  <si>
    <t>Atlassian JIRA</t>
  </si>
  <si>
    <t>Testmanager</t>
  </si>
  <si>
    <t>Saint-Petersburg</t>
  </si>
  <si>
    <t>Qlik</t>
  </si>
  <si>
    <t>ERP Consultant</t>
  </si>
  <si>
    <t xml:space="preserve">Researcher/ Consumer Insights Analyst </t>
  </si>
  <si>
    <t>consumer analysis</t>
  </si>
  <si>
    <t>IT Operations Manager</t>
  </si>
  <si>
    <t>SaarbrÃ¼cken</t>
  </si>
  <si>
    <t>Variável</t>
  </si>
  <si>
    <t>Tipo</t>
  </si>
  <si>
    <t>Quantitativa contínua</t>
  </si>
  <si>
    <t>Qualitativa nominal</t>
  </si>
  <si>
    <t>Qualitativa ordinal</t>
  </si>
  <si>
    <r>
      <t>20</t>
    </r>
    <r>
      <rPr>
        <sz val="11"/>
        <color theme="1"/>
        <rFont val="Calibri"/>
        <family val="2"/>
      </rPr>
      <t>Ͱ30</t>
    </r>
  </si>
  <si>
    <t>30Ͱ40</t>
  </si>
  <si>
    <t>40Ͱ50</t>
  </si>
  <si>
    <t>50Ͱ60</t>
  </si>
  <si>
    <t>60Ͱ70</t>
  </si>
  <si>
    <t>Total</t>
  </si>
  <si>
    <t>Idade</t>
  </si>
  <si>
    <t>Frequência</t>
  </si>
  <si>
    <t>Proporção</t>
  </si>
  <si>
    <t>Porcentagem</t>
  </si>
  <si>
    <t>Gênero</t>
  </si>
  <si>
    <t>Masculino</t>
  </si>
  <si>
    <t>Feminino</t>
  </si>
  <si>
    <t>Outros</t>
  </si>
  <si>
    <t xml:space="preserve">Total de anos </t>
  </si>
  <si>
    <r>
      <t>0</t>
    </r>
    <r>
      <rPr>
        <sz val="11"/>
        <color theme="1"/>
        <rFont val="Calibri"/>
        <family val="2"/>
      </rPr>
      <t>Ͱ5</t>
    </r>
  </si>
  <si>
    <t>5Ͱ10</t>
  </si>
  <si>
    <t>10Ͱ15</t>
  </si>
  <si>
    <t>15Ͱ20</t>
  </si>
  <si>
    <t>20Ͱ25</t>
  </si>
  <si>
    <t>25Ͱ30</t>
  </si>
  <si>
    <t>30Ͱ35</t>
  </si>
  <si>
    <t>35Ͱ40</t>
  </si>
  <si>
    <t>40Ͱ45</t>
  </si>
  <si>
    <t>&gt;45</t>
  </si>
  <si>
    <t>0Ͱ5</t>
  </si>
  <si>
    <t xml:space="preserve">Total </t>
  </si>
  <si>
    <t>Outro</t>
  </si>
  <si>
    <t>GO</t>
  </si>
  <si>
    <t>Outra</t>
  </si>
  <si>
    <t>10000 Ͱ 30000</t>
  </si>
  <si>
    <t>30000 Ͱ 50000</t>
  </si>
  <si>
    <t>50000 Ͱ 70000</t>
  </si>
  <si>
    <t>90000 Ͱ 110000</t>
  </si>
  <si>
    <t>110000 Ͱ 130000</t>
  </si>
  <si>
    <t>130000 Ͱ 150000</t>
  </si>
  <si>
    <t>170000 Ͱ 190000</t>
  </si>
  <si>
    <t>190000 Ͱ 210000</t>
  </si>
  <si>
    <t>70000 Ͱ 90000</t>
  </si>
  <si>
    <r>
      <t xml:space="preserve">0 </t>
    </r>
    <r>
      <rPr>
        <sz val="11"/>
        <color theme="1"/>
        <rFont val="Calibri"/>
        <family val="2"/>
      </rPr>
      <t>Ͱ</t>
    </r>
    <r>
      <rPr>
        <sz val="11"/>
        <color theme="1"/>
        <rFont val="Calibri"/>
        <family val="2"/>
        <scheme val="minor"/>
      </rPr>
      <t xml:space="preserve"> 10000</t>
    </r>
  </si>
  <si>
    <t>10000 Ͱ 20000</t>
  </si>
  <si>
    <t>20000 Ͱ 30000</t>
  </si>
  <si>
    <t>30000 Ͱ 40000</t>
  </si>
  <si>
    <t>40000 Ͱ 50000</t>
  </si>
  <si>
    <t>60000 Ͱ 70000</t>
  </si>
  <si>
    <t>70000 Ͱ 80000</t>
  </si>
  <si>
    <t>80000 Ͱ 90000</t>
  </si>
  <si>
    <t>90000 Ͱ 100000</t>
  </si>
  <si>
    <t>&gt; 100000</t>
  </si>
  <si>
    <t>Bônus</t>
  </si>
  <si>
    <r>
      <t xml:space="preserve">0 </t>
    </r>
    <r>
      <rPr>
        <sz val="11"/>
        <color theme="1"/>
        <rFont val="Calibri"/>
        <family val="2"/>
      </rPr>
      <t>Ͱ 15</t>
    </r>
  </si>
  <si>
    <t>15 Ͱ 30</t>
  </si>
  <si>
    <t>30 Ͱ 45</t>
  </si>
  <si>
    <t>45 Ͱ 60</t>
  </si>
  <si>
    <t>60 Ͱ 75</t>
  </si>
  <si>
    <t>75 Ͱ 90</t>
  </si>
  <si>
    <t>90 Ͱ 105</t>
  </si>
  <si>
    <r>
      <t xml:space="preserve">11 </t>
    </r>
    <r>
      <rPr>
        <sz val="11"/>
        <color theme="1"/>
        <rFont val="Calibri"/>
        <family val="2"/>
      </rPr>
      <t xml:space="preserve">Ͱ </t>
    </r>
    <r>
      <rPr>
        <sz val="11"/>
        <color theme="1"/>
        <rFont val="Calibri"/>
        <family val="2"/>
        <scheme val="minor"/>
      </rPr>
      <t>50</t>
    </r>
  </si>
  <si>
    <t>51 Ͱ 100</t>
  </si>
  <si>
    <t>0 Ͱ 10</t>
  </si>
  <si>
    <t>100 Ͱ 1000</t>
  </si>
  <si>
    <t>&gt; 1000</t>
  </si>
  <si>
    <t>Média</t>
  </si>
  <si>
    <t>Mediana</t>
  </si>
  <si>
    <t>Variância</t>
  </si>
  <si>
    <t>Desvio Padrão</t>
  </si>
  <si>
    <t>Desvio Média</t>
  </si>
  <si>
    <t>Moda</t>
  </si>
  <si>
    <t>Medidas de resumo da idade dos entrevistados na Pesquias Salarial EUA.</t>
  </si>
  <si>
    <t>Medidas de resumo do gênero dos entrevistados na Pesquias Salarial EUA.</t>
  </si>
  <si>
    <t>Medidas de resumo da cidade dos entrevistados na Pesquias Salarial EUA.</t>
  </si>
  <si>
    <t>Posição Profissional</t>
  </si>
  <si>
    <t>Cidade</t>
  </si>
  <si>
    <t>Anos de esperiência</t>
  </si>
  <si>
    <t>Nível Profissional</t>
  </si>
  <si>
    <t xml:space="preserve">Linguagem de programação </t>
  </si>
  <si>
    <t>Salário Bruto</t>
  </si>
  <si>
    <t>Idioma</t>
  </si>
  <si>
    <t>Tamanho</t>
  </si>
  <si>
    <t>(Tabela1[Yearly bonus + stocks in EUR]</t>
  </si>
  <si>
    <t>Férias</t>
  </si>
  <si>
    <t>\</t>
  </si>
  <si>
    <t>&gt; 210000</t>
  </si>
  <si>
    <t xml:space="preserve">Agile master </t>
  </si>
  <si>
    <t>Data Architect</t>
  </si>
  <si>
    <t>DataEngineer</t>
  </si>
  <si>
    <t>Technical business analyst</t>
  </si>
  <si>
    <t>Working student (QA)</t>
  </si>
  <si>
    <t>Yearly brutto</t>
  </si>
  <si>
    <t>Position</t>
  </si>
  <si>
    <t>Yearly brutto salary x Age</t>
  </si>
  <si>
    <t>Yearly brutto salary x Gender</t>
  </si>
  <si>
    <t>Coeficiente de correlação:</t>
  </si>
  <si>
    <t>n</t>
  </si>
  <si>
    <t>dp(x)</t>
  </si>
  <si>
    <t>var(x)</t>
  </si>
  <si>
    <t>Tabela necessária para fazer o boxplot</t>
  </si>
  <si>
    <t>R^2</t>
  </si>
  <si>
    <t>Yearly brutto salary x Position</t>
  </si>
  <si>
    <t>BI</t>
  </si>
  <si>
    <t>Django</t>
  </si>
  <si>
    <t>Grails</t>
  </si>
  <si>
    <t>Julia</t>
  </si>
  <si>
    <t>NLP</t>
  </si>
  <si>
    <t>Pascal</t>
  </si>
  <si>
    <t>OS</t>
  </si>
  <si>
    <t>Qlik BI Tool</t>
  </si>
  <si>
    <t>SAS</t>
  </si>
  <si>
    <t>Several</t>
  </si>
  <si>
    <t>Sketch</t>
  </si>
  <si>
    <t>VB</t>
  </si>
  <si>
    <t>Frequência e porcentagem da idade dos entrevistados na Pesquisa Salarial da União Europeia.</t>
  </si>
  <si>
    <t>Frequência e porcentagem do gênero dos entrevistados na Pesquisa Salarial da União Europeia.</t>
  </si>
  <si>
    <t>Frequência e porcentagem da cidade dos entrevistados na Pesquisa Salarialda da União Europeia.</t>
  </si>
  <si>
    <t>Frequência e porcentagem da posição profissional dos entrevistados na Pesquisa Salarial da União Europeia.</t>
  </si>
  <si>
    <t>Frequência e porcentagem da quantidade de anos de esperiência dos entrevistados na Pesquisa Salarial da União Europeia.</t>
  </si>
  <si>
    <t>Medidas de resumo da quantidade de anos de esperiência dos entrevistados na Pesquisa Salarialda União Europeia.</t>
  </si>
  <si>
    <t>Frequência e porcentagem da quantidade de anos de esperiência na Alemanha dos entrevistados na Pesquisa Salarial da União Europeia.</t>
  </si>
  <si>
    <t>Medidas de resumo da quantidade de anos de esperiência na alemanha dos entrevistados na Pesquisa Salarial da União Europeia.</t>
  </si>
  <si>
    <t>Frequência e porcentagem do nível profissional dos entrevistados na Pesquisa Salarial da União Europeia.</t>
  </si>
  <si>
    <t>Medidas de resumo da quantidade de anos de esperiência dos entrevistados na Pesquisa Salarial da União Europeia.</t>
  </si>
  <si>
    <t>Medidas de resumo das linguagens de programação mais usadas dos entrevistados dos entrevistados na Pesquisa Salarialda União Europeia.</t>
  </si>
  <si>
    <t>Frequência e porcentagem das linguagens de programação mais usadas dos entrevistados na Pesquisa Salarial da União Europeia.</t>
  </si>
  <si>
    <t>Frequência e porcentagem do salário bruto dos entrevistados na Pesquisa Salarial da União Europeia.</t>
  </si>
  <si>
    <t>Medidas de resumodo salário bruto dos entrevistados na Pesquisa Salarial da União Europeia.</t>
  </si>
  <si>
    <t>Frequência e porcentagem do bônus dos entrevistados na Pesquisa Salarial da União Europeia.</t>
  </si>
  <si>
    <t>Medidas de resumodo bônus dos entrevistados na Pesquisa Salarial da União Europeia.</t>
  </si>
  <si>
    <t>Frequência e porcentagem do número de feriados dos entrevistados na Pesquisa Salarial da União Europeia.</t>
  </si>
  <si>
    <t>Medidas de resumo do número de feriados dos entrevistados na Pesquisa Salarial da União Europeia.</t>
  </si>
  <si>
    <t>Frequência e porcentagem do idioma principal no trabalho dos entrevistados na Pesquisa Salarial da União Europeia.</t>
  </si>
  <si>
    <t>Medidas de resumo  do idioma principal no trabalho dos entrevistados na Pesquisa Salarial da União Europeia.</t>
  </si>
  <si>
    <t>Frequência e porcentagem do tamanho das empresas dos entrevistados na Pesquisa Salarial da União Europeia.</t>
  </si>
  <si>
    <t>11-50</t>
  </si>
  <si>
    <t>Salário x Idade</t>
  </si>
  <si>
    <t>Yearly brutto salary x Total years od experience</t>
  </si>
  <si>
    <t>Yearly brutto salary</t>
  </si>
  <si>
    <t>Salário bruto anual x Total de anos de experiência</t>
  </si>
  <si>
    <t>Nível profissional x Idade</t>
  </si>
  <si>
    <t>Yearly brutto salary x Seniority level</t>
  </si>
  <si>
    <t>Posição x salário</t>
  </si>
  <si>
    <t xml:space="preserve">Variável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</si>
</sst>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yy"/>
    <numFmt numFmtId="166"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tint="-0.249977111117893"/>
      <name val="Calibri"/>
      <family val="2"/>
      <scheme val="minor"/>
    </font>
    <font>
      <sz val="11"/>
      <color theme="4" tint="-0.249977111117893"/>
      <name val="Calibri"/>
      <family val="2"/>
      <scheme val="minor"/>
    </font>
    <font>
      <sz val="11"/>
      <color theme="1"/>
      <name val="Calibri"/>
      <family val="2"/>
    </font>
    <font>
      <u/>
      <sz val="11"/>
      <color theme="10"/>
      <name val="Calibri"/>
      <family val="2"/>
      <scheme val="minor"/>
    </font>
    <font>
      <sz val="8"/>
      <name val="Calibri"/>
      <family val="2"/>
      <scheme val="minor"/>
    </font>
    <font>
      <u/>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99CCFF"/>
        <bgColor indexed="64"/>
      </patternFill>
    </fill>
    <fill>
      <patternFill patternType="solid">
        <fgColor rgb="FFCCECFF"/>
        <bgColor indexed="64"/>
      </patternFill>
    </fill>
    <fill>
      <patternFill patternType="solid">
        <fgColor theme="0"/>
        <bgColor indexed="64"/>
      </patternFill>
    </fill>
    <fill>
      <patternFill patternType="solid">
        <fgColor rgb="FF99CCFF"/>
        <bgColor theme="4" tint="0.79998168889431442"/>
      </patternFill>
    </fill>
  </fills>
  <borders count="7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style="thin">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right style="thin">
        <color theme="2"/>
      </right>
      <top/>
      <bottom style="thin">
        <color theme="2"/>
      </bottom>
      <diagonal/>
    </border>
    <border>
      <left/>
      <right/>
      <top/>
      <bottom style="thin">
        <color theme="1"/>
      </bottom>
      <diagonal/>
    </border>
    <border>
      <left style="thin">
        <color theme="2"/>
      </left>
      <right style="thin">
        <color theme="1"/>
      </right>
      <top style="thin">
        <color theme="1"/>
      </top>
      <bottom style="thin">
        <color theme="1"/>
      </bottom>
      <diagonal/>
    </border>
    <border>
      <left style="thin">
        <color theme="2"/>
      </left>
      <right style="thin">
        <color theme="1"/>
      </right>
      <top style="thin">
        <color theme="1"/>
      </top>
      <bottom style="thin">
        <color theme="2"/>
      </bottom>
      <diagonal/>
    </border>
    <border>
      <left style="thin">
        <color theme="2"/>
      </left>
      <right style="thin">
        <color theme="1"/>
      </right>
      <top style="thin">
        <color theme="2"/>
      </top>
      <bottom style="thin">
        <color theme="2"/>
      </bottom>
      <diagonal/>
    </border>
    <border>
      <left style="thin">
        <color theme="2"/>
      </left>
      <right style="thin">
        <color theme="1"/>
      </right>
      <top style="thin">
        <color theme="2"/>
      </top>
      <bottom style="thin">
        <color theme="1"/>
      </bottom>
      <diagonal/>
    </border>
    <border>
      <left/>
      <right style="thin">
        <color theme="1"/>
      </right>
      <top/>
      <bottom/>
      <diagonal/>
    </border>
    <border>
      <left/>
      <right style="thin">
        <color theme="2"/>
      </right>
      <top style="thin">
        <color theme="1"/>
      </top>
      <bottom style="thin">
        <color theme="1"/>
      </bottom>
      <diagonal/>
    </border>
    <border>
      <left/>
      <right style="thin">
        <color theme="2"/>
      </right>
      <top style="thin">
        <color theme="2"/>
      </top>
      <bottom style="thin">
        <color theme="2"/>
      </bottom>
      <diagonal/>
    </border>
    <border>
      <left/>
      <right style="thin">
        <color theme="2"/>
      </right>
      <top style="thin">
        <color theme="2"/>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style="thin">
        <color theme="2"/>
      </top>
      <bottom style="thin">
        <color theme="2"/>
      </bottom>
      <diagonal/>
    </border>
    <border>
      <left/>
      <right style="thin">
        <color theme="1"/>
      </right>
      <top/>
      <bottom style="thin">
        <color theme="1"/>
      </bottom>
      <diagonal/>
    </border>
    <border>
      <left style="thin">
        <color theme="1"/>
      </left>
      <right style="thin">
        <color theme="1"/>
      </right>
      <top/>
      <bottom/>
      <diagonal/>
    </border>
    <border>
      <left style="thin">
        <color theme="2"/>
      </left>
      <right style="thin">
        <color theme="1"/>
      </right>
      <top/>
      <bottom style="thin">
        <color theme="2"/>
      </bottom>
      <diagonal/>
    </border>
    <border>
      <left style="thin">
        <color theme="1"/>
      </left>
      <right style="thin">
        <color theme="1"/>
      </right>
      <top style="thin">
        <color theme="1"/>
      </top>
      <bottom style="thin">
        <color theme="2"/>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theme="1"/>
      </right>
      <top style="thin">
        <color theme="1"/>
      </top>
      <bottom/>
      <diagonal/>
    </border>
    <border>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right/>
      <top/>
      <bottom style="thin">
        <color theme="4"/>
      </bottom>
      <diagonal/>
    </border>
    <border>
      <left/>
      <right style="thin">
        <color theme="1"/>
      </right>
      <top/>
      <bottom style="thin">
        <color indexed="64"/>
      </bottom>
      <diagonal/>
    </border>
    <border>
      <left style="thin">
        <color theme="1"/>
      </left>
      <right style="thin">
        <color theme="1"/>
      </right>
      <top style="thin">
        <color theme="2"/>
      </top>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style="thin">
        <color theme="1"/>
      </right>
      <top style="thin">
        <color theme="2"/>
      </top>
      <bottom/>
      <diagonal/>
    </border>
    <border>
      <left style="thin">
        <color indexed="64"/>
      </left>
      <right style="thin">
        <color theme="1"/>
      </right>
      <top style="thin">
        <color indexed="64"/>
      </top>
      <bottom style="thin">
        <color indexed="64"/>
      </bottom>
      <diagonal/>
    </border>
    <border>
      <left/>
      <right style="thin">
        <color theme="2"/>
      </right>
      <top style="thin">
        <color indexed="64"/>
      </top>
      <bottom style="thin">
        <color indexed="64"/>
      </bottom>
      <diagonal/>
    </border>
    <border>
      <left style="thin">
        <color theme="2"/>
      </left>
      <right style="thin">
        <color theme="2"/>
      </right>
      <top style="thin">
        <color indexed="64"/>
      </top>
      <bottom style="thin">
        <color indexed="64"/>
      </bottom>
      <diagonal/>
    </border>
    <border>
      <left style="thin">
        <color theme="2"/>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1"/>
      </right>
      <top style="thin">
        <color theme="1"/>
      </top>
      <bottom style="thin">
        <color indexed="64"/>
      </bottom>
      <diagonal/>
    </border>
    <border>
      <left style="thin">
        <color theme="1"/>
      </left>
      <right/>
      <top style="thin">
        <color theme="1"/>
      </top>
      <bottom style="thin">
        <color indexed="64"/>
      </bottom>
      <diagonal/>
    </border>
    <border>
      <left style="thin">
        <color indexed="64"/>
      </left>
      <right style="thin">
        <color indexed="64"/>
      </right>
      <top/>
      <bottom style="thin">
        <color indexed="64"/>
      </bottom>
      <diagonal/>
    </border>
    <border>
      <left style="thin">
        <color theme="1"/>
      </left>
      <right/>
      <top style="thin">
        <color indexed="64"/>
      </top>
      <bottom style="thin">
        <color indexed="64"/>
      </bottom>
      <diagonal/>
    </border>
    <border>
      <left/>
      <right/>
      <top style="thin">
        <color theme="1"/>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67">
    <xf numFmtId="0" fontId="0" fillId="0" borderId="0" xfId="0"/>
    <xf numFmtId="2" fontId="0" fillId="0" borderId="0" xfId="0" applyNumberFormat="1"/>
    <xf numFmtId="0" fontId="18" fillId="0" borderId="10" xfId="0" applyFont="1" applyBorder="1"/>
    <xf numFmtId="0" fontId="19" fillId="33" borderId="0" xfId="0" applyFont="1" applyFill="1"/>
    <xf numFmtId="0" fontId="19" fillId="0" borderId="0" xfId="0" applyFont="1"/>
    <xf numFmtId="164" fontId="0" fillId="0" borderId="0" xfId="0" applyNumberFormat="1"/>
    <xf numFmtId="2" fontId="19" fillId="0" borderId="0" xfId="0" applyNumberFormat="1" applyFont="1"/>
    <xf numFmtId="0" fontId="0" fillId="0" borderId="13" xfId="0" applyBorder="1"/>
    <xf numFmtId="0" fontId="0" fillId="0" borderId="14" xfId="0" applyBorder="1"/>
    <xf numFmtId="0" fontId="0" fillId="34" borderId="15" xfId="0"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34" borderId="20" xfId="0" applyFill="1" applyBorder="1" applyAlignment="1">
      <alignment horizontal="center" vertical="center"/>
    </xf>
    <xf numFmtId="0" fontId="0" fillId="0" borderId="21" xfId="0" applyBorder="1"/>
    <xf numFmtId="0" fontId="0" fillId="0" borderId="19" xfId="0" applyBorder="1"/>
    <xf numFmtId="0" fontId="0" fillId="34" borderId="23" xfId="0" applyFill="1" applyBorder="1"/>
    <xf numFmtId="0" fontId="0" fillId="35" borderId="23" xfId="0" applyFill="1" applyBorder="1"/>
    <xf numFmtId="0" fontId="0" fillId="35" borderId="25" xfId="0" applyFill="1" applyBorder="1"/>
    <xf numFmtId="164" fontId="0" fillId="0" borderId="27" xfId="0" applyNumberFormat="1" applyBorder="1"/>
    <xf numFmtId="0" fontId="0" fillId="35" borderId="28" xfId="0" applyFill="1" applyBorder="1"/>
    <xf numFmtId="164" fontId="0" fillId="0" borderId="19" xfId="0" applyNumberFormat="1" applyBorder="1"/>
    <xf numFmtId="164" fontId="0" fillId="0" borderId="11" xfId="0" applyNumberFormat="1" applyBorder="1"/>
    <xf numFmtId="164" fontId="0" fillId="0" borderId="17" xfId="0" applyNumberFormat="1" applyBorder="1"/>
    <xf numFmtId="164" fontId="0" fillId="0" borderId="12" xfId="0" applyNumberFormat="1" applyBorder="1"/>
    <xf numFmtId="164" fontId="0" fillId="0" borderId="29" xfId="0" applyNumberFormat="1" applyBorder="1"/>
    <xf numFmtId="0" fontId="0" fillId="35" borderId="30" xfId="0" applyFill="1" applyBorder="1"/>
    <xf numFmtId="0" fontId="0" fillId="35" borderId="26" xfId="0" applyFill="1" applyBorder="1"/>
    <xf numFmtId="0" fontId="0" fillId="36" borderId="0" xfId="0" applyFill="1" applyBorder="1"/>
    <xf numFmtId="0" fontId="0" fillId="36" borderId="0" xfId="0" quotePrefix="1" applyFill="1" applyBorder="1" applyAlignment="1">
      <alignment vertical="center" wrapText="1"/>
    </xf>
    <xf numFmtId="0" fontId="0" fillId="0" borderId="0" xfId="0" applyBorder="1"/>
    <xf numFmtId="0" fontId="0" fillId="35" borderId="33" xfId="0" applyFill="1" applyBorder="1"/>
    <xf numFmtId="0" fontId="0" fillId="35" borderId="34" xfId="0" applyFill="1" applyBorder="1"/>
    <xf numFmtId="0" fontId="0" fillId="0" borderId="27" xfId="0" applyBorder="1"/>
    <xf numFmtId="0" fontId="0" fillId="35" borderId="24" xfId="0" applyFill="1" applyBorder="1"/>
    <xf numFmtId="164" fontId="0" fillId="0" borderId="0" xfId="0" applyNumberFormat="1" applyBorder="1"/>
    <xf numFmtId="164" fontId="0" fillId="35" borderId="33" xfId="0" applyNumberFormat="1" applyFill="1" applyBorder="1"/>
    <xf numFmtId="1" fontId="0" fillId="0" borderId="0" xfId="0" applyNumberFormat="1" applyBorder="1"/>
    <xf numFmtId="1" fontId="0" fillId="0" borderId="14" xfId="0" applyNumberFormat="1" applyBorder="1"/>
    <xf numFmtId="164" fontId="0" fillId="0" borderId="14" xfId="0" applyNumberFormat="1" applyBorder="1"/>
    <xf numFmtId="164" fontId="0" fillId="35" borderId="24" xfId="0" applyNumberFormat="1" applyFill="1" applyBorder="1"/>
    <xf numFmtId="164" fontId="0" fillId="35" borderId="28" xfId="0" applyNumberFormat="1" applyFill="1" applyBorder="1"/>
    <xf numFmtId="164" fontId="0" fillId="35" borderId="25" xfId="0" applyNumberFormat="1" applyFill="1" applyBorder="1"/>
    <xf numFmtId="0" fontId="0" fillId="34" borderId="24" xfId="0" applyFill="1" applyBorder="1"/>
    <xf numFmtId="0" fontId="20" fillId="35" borderId="36" xfId="0" applyFont="1" applyFill="1" applyBorder="1"/>
    <xf numFmtId="0" fontId="0" fillId="35" borderId="37" xfId="0" applyFill="1" applyBorder="1"/>
    <xf numFmtId="0" fontId="0" fillId="0" borderId="38" xfId="0" applyBorder="1" applyAlignment="1">
      <alignment horizontal="center"/>
    </xf>
    <xf numFmtId="164" fontId="0" fillId="0" borderId="38" xfId="0" applyNumberFormat="1" applyBorder="1" applyAlignment="1">
      <alignment horizontal="center"/>
    </xf>
    <xf numFmtId="164" fontId="0" fillId="0" borderId="39" xfId="0" applyNumberFormat="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164" fontId="0" fillId="0" borderId="40" xfId="0" applyNumberFormat="1" applyBorder="1" applyAlignment="1">
      <alignment horizontal="center"/>
    </xf>
    <xf numFmtId="0" fontId="0" fillId="35" borderId="35" xfId="0" applyFill="1" applyBorder="1"/>
    <xf numFmtId="0" fontId="0" fillId="0" borderId="41" xfId="0" applyBorder="1" applyAlignment="1">
      <alignment horizontal="center"/>
    </xf>
    <xf numFmtId="0" fontId="0" fillId="0" borderId="42" xfId="0" applyBorder="1" applyAlignment="1">
      <alignment horizontal="center"/>
    </xf>
    <xf numFmtId="0" fontId="0" fillId="0" borderId="37" xfId="0" applyBorder="1"/>
    <xf numFmtId="0" fontId="0" fillId="0" borderId="35" xfId="0" applyBorder="1"/>
    <xf numFmtId="0" fontId="0" fillId="0" borderId="41" xfId="0" applyBorder="1"/>
    <xf numFmtId="164" fontId="0" fillId="0" borderId="41" xfId="0" applyNumberFormat="1" applyBorder="1"/>
    <xf numFmtId="164" fontId="0" fillId="0" borderId="41" xfId="0" applyNumberFormat="1" applyBorder="1" applyAlignment="1">
      <alignment horizontal="center"/>
    </xf>
    <xf numFmtId="164" fontId="0" fillId="0" borderId="42" xfId="0" applyNumberFormat="1" applyBorder="1" applyAlignment="1">
      <alignment horizontal="center"/>
    </xf>
    <xf numFmtId="0" fontId="0" fillId="34" borderId="35" xfId="0" applyFill="1" applyBorder="1"/>
    <xf numFmtId="0" fontId="0" fillId="34" borderId="48" xfId="0" applyFill="1" applyBorder="1" applyAlignment="1">
      <alignment horizontal="center"/>
    </xf>
    <xf numFmtId="0" fontId="0" fillId="34" borderId="49" xfId="0" applyFill="1" applyBorder="1" applyAlignment="1">
      <alignment horizontal="center"/>
    </xf>
    <xf numFmtId="0" fontId="0" fillId="34" borderId="50" xfId="0" applyFill="1" applyBorder="1" applyAlignment="1">
      <alignment horizontal="center"/>
    </xf>
    <xf numFmtId="2" fontId="0" fillId="0" borderId="40" xfId="0" applyNumberFormat="1" applyBorder="1"/>
    <xf numFmtId="2" fontId="0" fillId="0" borderId="42" xfId="0" applyNumberFormat="1" applyBorder="1"/>
    <xf numFmtId="0" fontId="20" fillId="35" borderId="36" xfId="0" applyFont="1" applyFill="1" applyBorder="1" applyAlignment="1">
      <alignment horizontal="center"/>
    </xf>
    <xf numFmtId="0" fontId="0" fillId="35" borderId="37" xfId="0" applyFill="1" applyBorder="1" applyAlignment="1">
      <alignment horizontal="center"/>
    </xf>
    <xf numFmtId="0" fontId="0" fillId="35" borderId="35" xfId="0" applyFill="1" applyBorder="1" applyAlignment="1">
      <alignment horizontal="center"/>
    </xf>
    <xf numFmtId="0" fontId="0" fillId="35" borderId="36" xfId="0" applyFill="1" applyBorder="1"/>
    <xf numFmtId="0" fontId="0" fillId="0" borderId="40" xfId="0" applyBorder="1" applyAlignment="1">
      <alignment horizontal="center"/>
    </xf>
    <xf numFmtId="0" fontId="21" fillId="0" borderId="13" xfId="42" applyBorder="1" applyAlignment="1">
      <alignment horizontal="center" vertical="center"/>
    </xf>
    <xf numFmtId="0" fontId="21" fillId="0" borderId="22" xfId="42" applyBorder="1" applyAlignment="1">
      <alignment horizontal="center" vertical="center"/>
    </xf>
    <xf numFmtId="0" fontId="0" fillId="0" borderId="39" xfId="0" applyBorder="1" applyAlignment="1">
      <alignment horizontal="center"/>
    </xf>
    <xf numFmtId="0" fontId="21" fillId="0" borderId="21" xfId="42" applyBorder="1" applyAlignment="1">
      <alignment horizontal="center" vertical="center"/>
    </xf>
    <xf numFmtId="0" fontId="19" fillId="33" borderId="51" xfId="0" applyFont="1" applyFill="1" applyBorder="1"/>
    <xf numFmtId="0" fontId="0" fillId="35" borderId="49" xfId="0" applyFill="1" applyBorder="1"/>
    <xf numFmtId="0" fontId="0" fillId="0" borderId="52" xfId="0" applyBorder="1"/>
    <xf numFmtId="166" fontId="0" fillId="0" borderId="19" xfId="0" applyNumberFormat="1" applyBorder="1"/>
    <xf numFmtId="166" fontId="0" fillId="0" borderId="27" xfId="0" applyNumberFormat="1" applyBorder="1"/>
    <xf numFmtId="2" fontId="0" fillId="0" borderId="19" xfId="0" applyNumberFormat="1" applyBorder="1"/>
    <xf numFmtId="2" fontId="0" fillId="0" borderId="27" xfId="0" applyNumberFormat="1" applyBorder="1"/>
    <xf numFmtId="0" fontId="0" fillId="35" borderId="53" xfId="0" applyFill="1" applyBorder="1"/>
    <xf numFmtId="0" fontId="0" fillId="0" borderId="54" xfId="0" applyBorder="1"/>
    <xf numFmtId="164" fontId="0" fillId="0" borderId="55" xfId="0" applyNumberFormat="1" applyBorder="1"/>
    <xf numFmtId="164" fontId="0" fillId="0" borderId="56" xfId="0" applyNumberFormat="1" applyBorder="1"/>
    <xf numFmtId="0" fontId="0" fillId="35" borderId="57" xfId="0" applyFill="1" applyBorder="1"/>
    <xf numFmtId="0" fontId="0" fillId="0" borderId="58" xfId="0" applyBorder="1"/>
    <xf numFmtId="164" fontId="0" fillId="0" borderId="59" xfId="0" applyNumberFormat="1" applyBorder="1"/>
    <xf numFmtId="164" fontId="0" fillId="0" borderId="60" xfId="0" applyNumberFormat="1" applyBorder="1"/>
    <xf numFmtId="0" fontId="0" fillId="0" borderId="0" xfId="0" applyAlignment="1">
      <alignment vertical="center"/>
    </xf>
    <xf numFmtId="0" fontId="0" fillId="34" borderId="35" xfId="0" applyFill="1" applyBorder="1" applyAlignment="1">
      <alignment horizontal="center" vertical="center"/>
    </xf>
    <xf numFmtId="0" fontId="21" fillId="0" borderId="35" xfId="42" applyBorder="1"/>
    <xf numFmtId="0" fontId="0" fillId="34" borderId="0" xfId="0" applyFill="1" applyBorder="1" applyAlignment="1">
      <alignment horizontal="center" vertical="center"/>
    </xf>
    <xf numFmtId="0" fontId="23" fillId="34" borderId="0" xfId="0" applyFont="1" applyFill="1" applyBorder="1" applyAlignment="1">
      <alignment horizontal="center" vertical="center"/>
    </xf>
    <xf numFmtId="0" fontId="0" fillId="35" borderId="0" xfId="0" applyFill="1" applyBorder="1" applyAlignment="1">
      <alignment horizontal="center" vertical="center"/>
    </xf>
    <xf numFmtId="165" fontId="0" fillId="0" borderId="0" xfId="0" quotePrefix="1" applyNumberFormat="1"/>
    <xf numFmtId="0" fontId="0" fillId="0" borderId="0" xfId="0" applyBorder="1" applyAlignment="1">
      <alignment horizontal="center" vertical="center"/>
    </xf>
    <xf numFmtId="1" fontId="0" fillId="0" borderId="40" xfId="0" applyNumberFormat="1" applyBorder="1"/>
    <xf numFmtId="0" fontId="0" fillId="34" borderId="63" xfId="0" applyFill="1" applyBorder="1"/>
    <xf numFmtId="0" fontId="0" fillId="34" borderId="41" xfId="0" applyFill="1" applyBorder="1"/>
    <xf numFmtId="0" fontId="0" fillId="34" borderId="42" xfId="0" applyFill="1" applyBorder="1"/>
    <xf numFmtId="1" fontId="0" fillId="0" borderId="41" xfId="0" applyNumberFormat="1" applyBorder="1"/>
    <xf numFmtId="1" fontId="0" fillId="0" borderId="42" xfId="0" applyNumberFormat="1" applyBorder="1"/>
    <xf numFmtId="1" fontId="0" fillId="36" borderId="0" xfId="0" applyNumberFormat="1" applyFill="1" applyBorder="1"/>
    <xf numFmtId="164" fontId="0" fillId="36" borderId="0" xfId="0" applyNumberFormat="1" applyFill="1" applyBorder="1"/>
    <xf numFmtId="0" fontId="0" fillId="0" borderId="40" xfId="0" applyBorder="1"/>
    <xf numFmtId="1" fontId="0" fillId="0" borderId="64" xfId="0" applyNumberFormat="1" applyBorder="1"/>
    <xf numFmtId="164" fontId="0" fillId="0" borderId="64" xfId="0" applyNumberFormat="1" applyBorder="1"/>
    <xf numFmtId="0" fontId="0" fillId="0" borderId="64" xfId="0" applyBorder="1"/>
    <xf numFmtId="0" fontId="0" fillId="0" borderId="65" xfId="0" applyBorder="1"/>
    <xf numFmtId="0" fontId="0" fillId="34" borderId="66" xfId="0" applyFill="1" applyBorder="1"/>
    <xf numFmtId="0" fontId="0" fillId="34" borderId="67" xfId="0" applyFill="1" applyBorder="1"/>
    <xf numFmtId="164" fontId="0" fillId="35" borderId="37" xfId="0" applyNumberFormat="1" applyFill="1" applyBorder="1"/>
    <xf numFmtId="164" fontId="0" fillId="35" borderId="68" xfId="0" applyNumberFormat="1" applyFill="1" applyBorder="1"/>
    <xf numFmtId="0" fontId="0" fillId="0" borderId="64" xfId="0" applyBorder="1" applyAlignment="1">
      <alignment horizontal="center"/>
    </xf>
    <xf numFmtId="0" fontId="18" fillId="0" borderId="51" xfId="0" applyFont="1" applyBorder="1"/>
    <xf numFmtId="0" fontId="20" fillId="35" borderId="37" xfId="0" applyFont="1" applyFill="1" applyBorder="1" applyAlignment="1">
      <alignment horizontal="center"/>
    </xf>
    <xf numFmtId="0" fontId="0" fillId="35" borderId="69" xfId="0" applyFill="1" applyBorder="1" applyAlignment="1">
      <alignment horizontal="center" vertical="center"/>
    </xf>
    <xf numFmtId="0" fontId="0" fillId="35" borderId="35" xfId="0" applyFill="1" applyBorder="1" applyAlignment="1">
      <alignment horizontal="center" vertical="center"/>
    </xf>
    <xf numFmtId="0" fontId="0" fillId="0" borderId="0" xfId="0" quotePrefix="1" applyBorder="1" applyAlignment="1">
      <alignment horizontal="center" vertical="center"/>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35" xfId="0" applyBorder="1" applyAlignment="1">
      <alignment horizontal="center" vertical="center"/>
    </xf>
    <xf numFmtId="0" fontId="0" fillId="36" borderId="37" xfId="0" applyFill="1" applyBorder="1"/>
    <xf numFmtId="0" fontId="0" fillId="36" borderId="40" xfId="0" applyFill="1" applyBorder="1"/>
    <xf numFmtId="164" fontId="0" fillId="36" borderId="64" xfId="0" applyNumberFormat="1" applyFill="1" applyBorder="1"/>
    <xf numFmtId="0" fontId="0" fillId="36" borderId="64" xfId="0" applyFill="1" applyBorder="1"/>
    <xf numFmtId="0" fontId="0" fillId="36" borderId="65" xfId="0" applyFill="1" applyBorder="1"/>
    <xf numFmtId="0" fontId="0" fillId="36" borderId="68" xfId="0" applyFill="1" applyBorder="1"/>
    <xf numFmtId="0" fontId="0" fillId="34" borderId="70" xfId="0" applyFill="1" applyBorder="1"/>
    <xf numFmtId="0" fontId="19" fillId="37" borderId="35" xfId="0" applyFont="1" applyFill="1" applyBorder="1"/>
    <xf numFmtId="0" fontId="19" fillId="34" borderId="35" xfId="0" applyFont="1" applyFill="1" applyBorder="1"/>
    <xf numFmtId="0" fontId="0" fillId="35" borderId="63" xfId="0" applyFill="1" applyBorder="1"/>
    <xf numFmtId="164" fontId="0" fillId="0" borderId="42" xfId="0" applyNumberFormat="1" applyBorder="1"/>
    <xf numFmtId="0" fontId="0" fillId="35" borderId="68" xfId="0" applyFill="1" applyBorder="1"/>
    <xf numFmtId="0" fontId="0" fillId="34" borderId="23" xfId="0" quotePrefix="1" applyFill="1" applyBorder="1" applyAlignment="1">
      <alignment horizontal="center" vertical="center" wrapText="1"/>
    </xf>
    <xf numFmtId="0" fontId="0" fillId="34" borderId="31" xfId="0" quotePrefix="1" applyFill="1" applyBorder="1" applyAlignment="1">
      <alignment horizontal="center" vertical="center" wrapText="1"/>
    </xf>
    <xf numFmtId="0" fontId="0" fillId="34" borderId="32" xfId="0" quotePrefix="1" applyFill="1" applyBorder="1" applyAlignment="1">
      <alignment horizontal="center" vertical="center" wrapText="1"/>
    </xf>
    <xf numFmtId="0" fontId="0" fillId="34" borderId="33" xfId="0" quotePrefix="1" applyFill="1" applyBorder="1" applyAlignment="1">
      <alignment horizontal="center" vertical="center" wrapText="1"/>
    </xf>
    <xf numFmtId="0" fontId="0" fillId="34" borderId="19" xfId="0" quotePrefix="1" applyFill="1" applyBorder="1" applyAlignment="1">
      <alignment horizontal="center" vertical="center" wrapText="1"/>
    </xf>
    <xf numFmtId="0" fontId="0" fillId="34" borderId="34" xfId="0" quotePrefix="1" applyFill="1" applyBorder="1" applyAlignment="1">
      <alignment horizontal="center" vertical="center" wrapText="1"/>
    </xf>
    <xf numFmtId="0" fontId="0" fillId="34" borderId="27" xfId="0" quotePrefix="1" applyFill="1" applyBorder="1" applyAlignment="1">
      <alignment horizontal="center" vertical="center" wrapText="1"/>
    </xf>
    <xf numFmtId="0" fontId="0" fillId="34" borderId="43" xfId="0" quotePrefix="1" applyFill="1" applyBorder="1" applyAlignment="1">
      <alignment horizontal="center" vertical="center" wrapText="1"/>
    </xf>
    <xf numFmtId="0" fontId="0" fillId="34" borderId="44" xfId="0" quotePrefix="1" applyFill="1" applyBorder="1" applyAlignment="1">
      <alignment horizontal="center" vertical="center" wrapText="1"/>
    </xf>
    <xf numFmtId="0" fontId="0" fillId="34" borderId="45" xfId="0" quotePrefix="1" applyFill="1" applyBorder="1" applyAlignment="1">
      <alignment horizontal="center" vertical="center" wrapText="1"/>
    </xf>
    <xf numFmtId="0" fontId="0" fillId="34" borderId="47" xfId="0" quotePrefix="1" applyFill="1" applyBorder="1" applyAlignment="1">
      <alignment horizontal="center" vertical="center" wrapText="1"/>
    </xf>
    <xf numFmtId="0" fontId="0" fillId="34" borderId="46" xfId="0" quotePrefix="1" applyFill="1" applyBorder="1" applyAlignment="1">
      <alignment horizontal="center" vertical="center" wrapText="1"/>
    </xf>
    <xf numFmtId="0" fontId="0" fillId="34" borderId="35" xfId="0" quotePrefix="1" applyFill="1" applyBorder="1" applyAlignment="1">
      <alignment horizontal="center" vertical="center" wrapText="1"/>
    </xf>
    <xf numFmtId="0" fontId="0" fillId="34" borderId="0" xfId="0" applyFill="1" applyAlignment="1">
      <alignment horizontal="center" vertical="center"/>
    </xf>
    <xf numFmtId="0" fontId="0" fillId="34" borderId="62" xfId="0" quotePrefix="1" applyFill="1" applyBorder="1" applyAlignment="1">
      <alignment horizontal="center" vertical="center" wrapText="1"/>
    </xf>
    <xf numFmtId="0" fontId="0" fillId="34" borderId="38" xfId="0" quotePrefix="1" applyFill="1" applyBorder="1" applyAlignment="1">
      <alignment horizontal="center" vertical="center" wrapText="1"/>
    </xf>
    <xf numFmtId="0" fontId="0" fillId="34" borderId="39" xfId="0" quotePrefix="1" applyFill="1" applyBorder="1" applyAlignment="1">
      <alignment horizontal="center" vertical="center" wrapText="1"/>
    </xf>
    <xf numFmtId="0" fontId="0" fillId="34" borderId="61" xfId="0" quotePrefix="1" applyFill="1" applyBorder="1" applyAlignment="1">
      <alignment horizontal="center" vertical="center" wrapText="1"/>
    </xf>
    <xf numFmtId="0" fontId="0" fillId="34" borderId="0" xfId="0" quotePrefix="1" applyFill="1" applyBorder="1" applyAlignment="1">
      <alignment horizontal="center" vertical="center" wrapText="1"/>
    </xf>
    <xf numFmtId="0" fontId="0" fillId="34" borderId="40" xfId="0" quotePrefix="1" applyFill="1" applyBorder="1" applyAlignment="1">
      <alignment horizontal="center" vertical="center" wrapText="1"/>
    </xf>
    <xf numFmtId="0" fontId="0" fillId="34" borderId="35" xfId="0" applyFill="1" applyBorder="1" applyAlignment="1">
      <alignment horizontal="center" vertical="center" wrapText="1"/>
    </xf>
    <xf numFmtId="0" fontId="0" fillId="0" borderId="0" xfId="0" applyBorder="1" applyAlignment="1">
      <alignment horizontal="center" vertical="center"/>
    </xf>
    <xf numFmtId="0" fontId="0" fillId="34" borderId="0" xfId="0" applyFill="1" applyAlignment="1">
      <alignment horizontal="center"/>
    </xf>
    <xf numFmtId="0" fontId="0" fillId="34" borderId="62" xfId="0" applyFill="1" applyBorder="1" applyAlignment="1">
      <alignment horizontal="center" vertical="center"/>
    </xf>
    <xf numFmtId="0" fontId="0" fillId="34" borderId="38" xfId="0" applyFill="1" applyBorder="1" applyAlignment="1">
      <alignment horizontal="center" vertical="center"/>
    </xf>
    <xf numFmtId="0" fontId="0" fillId="34" borderId="39" xfId="0" applyFill="1" applyBorder="1" applyAlignment="1">
      <alignment horizontal="center" vertical="center"/>
    </xf>
    <xf numFmtId="0" fontId="0" fillId="34" borderId="61" xfId="0" applyFill="1" applyBorder="1" applyAlignment="1">
      <alignment horizontal="center" vertical="center"/>
    </xf>
    <xf numFmtId="0" fontId="0" fillId="34" borderId="0" xfId="0" applyFill="1" applyBorder="1" applyAlignment="1">
      <alignment horizontal="center" vertical="center"/>
    </xf>
    <xf numFmtId="0" fontId="0" fillId="34" borderId="40" xfId="0" applyFill="1" applyBorder="1" applyAlignment="1">
      <alignment horizontal="center" vertical="center"/>
    </xf>
    <xf numFmtId="0" fontId="0" fillId="36" borderId="0" xfId="0" applyFill="1" applyBorder="1" applyAlignment="1">
      <alignment horizontal="center" vertic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9">
    <dxf>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4" tint="-0.249977111117893"/>
        <name val="Calibri"/>
        <family val="2"/>
        <scheme val="minor"/>
      </font>
    </dxf>
    <dxf>
      <font>
        <b val="0"/>
        <i val="0"/>
        <strike val="0"/>
        <condense val="0"/>
        <extend val="0"/>
        <outline val="0"/>
        <shadow val="0"/>
        <u val="none"/>
        <vertAlign val="baseline"/>
        <sz val="11"/>
        <color theme="4" tint="-0.249977111117893"/>
        <name val="Calibri"/>
        <family val="2"/>
        <scheme val="minor"/>
      </font>
    </dxf>
    <dxf>
      <border outline="0">
        <top style="thin">
          <color theme="4"/>
        </top>
      </border>
    </dxf>
    <dxf>
      <font>
        <b val="0"/>
        <i val="0"/>
        <strike val="0"/>
        <condense val="0"/>
        <extend val="0"/>
        <outline val="0"/>
        <shadow val="0"/>
        <u val="none"/>
        <vertAlign val="baseline"/>
        <sz val="11"/>
        <color theme="4" tint="-0.249977111117893"/>
        <name val="Calibri"/>
        <family val="2"/>
        <scheme val="minor"/>
      </font>
    </dxf>
    <dxf>
      <border outline="0">
        <bottom style="thin">
          <color theme="4"/>
        </bottom>
      </border>
    </dxf>
    <dxf>
      <font>
        <b/>
        <i val="0"/>
        <strike val="0"/>
        <condense val="0"/>
        <extend val="0"/>
        <outline val="0"/>
        <shadow val="0"/>
        <u val="none"/>
        <vertAlign val="baseline"/>
        <sz val="11"/>
        <color theme="4" tint="-0.249977111117893"/>
        <name val="Calibri"/>
        <family val="2"/>
        <scheme val="minor"/>
      </font>
    </dxf>
    <dxf>
      <numFmt numFmtId="164" formatCode="0.000"/>
      <fill>
        <patternFill patternType="solid">
          <fgColor indexed="64"/>
          <bgColor rgb="FFCCECFF"/>
        </patternFill>
      </fill>
      <border diagonalUp="0" diagonalDown="0" outline="0">
        <left style="thin">
          <color indexed="64"/>
        </left>
        <right style="thin">
          <color indexed="64"/>
        </right>
        <top/>
        <bottom/>
      </border>
    </dxf>
    <dxf>
      <alignment horizontal="general" vertical="center" textRotation="0" wrapText="0" indent="0" justifyLastLine="0" shrinkToFit="0" readingOrder="0"/>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a:t>
            </a:r>
            <a:r>
              <a:rPr lang="pt-BR" baseline="0"/>
              <a:t> da idade dos entrevistados na Pesquisa Salarial da União Europeia.</a:t>
            </a: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'Variável Age'!$C$4</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dLbls>
            <c:dLbl>
              <c:idx val="1"/>
              <c:layout>
                <c:manualLayout>
                  <c:x val="2.7777777777777779E-3"/>
                  <c:y val="1.28040973111395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DE-4B9D-9C76-010A7D51C2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Age'!$B$5:$B$9</c:f>
              <c:strCache>
                <c:ptCount val="5"/>
                <c:pt idx="0">
                  <c:v>20Ͱ30</c:v>
                </c:pt>
                <c:pt idx="1">
                  <c:v>30Ͱ40</c:v>
                </c:pt>
                <c:pt idx="2">
                  <c:v>40Ͱ50</c:v>
                </c:pt>
                <c:pt idx="3">
                  <c:v>50Ͱ60</c:v>
                </c:pt>
                <c:pt idx="4">
                  <c:v>60Ͱ70</c:v>
                </c:pt>
              </c:strCache>
            </c:strRef>
          </c:cat>
          <c:val>
            <c:numRef>
              <c:f>'Variável Age'!$C$5:$C$9</c:f>
              <c:numCache>
                <c:formatCode>General</c:formatCode>
                <c:ptCount val="5"/>
                <c:pt idx="0">
                  <c:v>382</c:v>
                </c:pt>
                <c:pt idx="1">
                  <c:v>721</c:v>
                </c:pt>
                <c:pt idx="2">
                  <c:v>111</c:v>
                </c:pt>
                <c:pt idx="3">
                  <c:v>9</c:v>
                </c:pt>
                <c:pt idx="4">
                  <c:v>3</c:v>
                </c:pt>
              </c:numCache>
            </c:numRef>
          </c:val>
          <c:extLst>
            <c:ext xmlns:c16="http://schemas.microsoft.com/office/drawing/2014/chart" uri="{C3380CC4-5D6E-409C-BE32-E72D297353CC}">
              <c16:uniqueId val="{00000000-36B6-4C7C-8423-15A94FD01E43}"/>
            </c:ext>
          </c:extLst>
        </c:ser>
        <c:dLbls>
          <c:dLblPos val="outEnd"/>
          <c:showLegendKey val="0"/>
          <c:showVal val="1"/>
          <c:showCatName val="0"/>
          <c:showSerName val="0"/>
          <c:showPercent val="0"/>
          <c:showBubbleSize val="0"/>
        </c:dLbls>
        <c:gapWidth val="3"/>
        <c:overlap val="-24"/>
        <c:axId val="1916484640"/>
        <c:axId val="1916474240"/>
      </c:barChart>
      <c:catAx>
        <c:axId val="19164846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Faixa etária</a:t>
                </a:r>
              </a:p>
              <a:p>
                <a:pPr>
                  <a:defRPr/>
                </a:pPr>
                <a:endParaRPr lang="pt-B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6474240"/>
        <c:crosses val="autoZero"/>
        <c:auto val="1"/>
        <c:lblAlgn val="ctr"/>
        <c:lblOffset val="100"/>
        <c:noMultiLvlLbl val="0"/>
      </c:catAx>
      <c:valAx>
        <c:axId val="191647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648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 Bônus anuais dos entrevistados na Pesquisa Salarial </a:t>
            </a:r>
            <a:r>
              <a:rPr lang="pt-BR" sz="1600" b="1" i="0" u="none" strike="noStrike" baseline="0">
                <a:effectLst/>
              </a:rPr>
              <a:t>da União Europeia.</a:t>
            </a: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0654278755001383"/>
          <c:y val="0.22297693920335429"/>
          <c:w val="0.86989251664878653"/>
          <c:h val="0.54059426533947408"/>
        </c:manualLayout>
      </c:layout>
      <c:barChart>
        <c:barDir val="col"/>
        <c:grouping val="clustered"/>
        <c:varyColors val="0"/>
        <c:ser>
          <c:idx val="0"/>
          <c:order val="0"/>
          <c:tx>
            <c:strRef>
              <c:f>'Variável Yearly bonus'!$C$7</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Yearly bonus'!$B$8:$B$17</c:f>
              <c:strCache>
                <c:ptCount val="10"/>
                <c:pt idx="0">
                  <c:v>0 Ͱ 10000</c:v>
                </c:pt>
                <c:pt idx="1">
                  <c:v>10000 Ͱ 20000</c:v>
                </c:pt>
                <c:pt idx="2">
                  <c:v>20000 Ͱ 30000</c:v>
                </c:pt>
                <c:pt idx="3">
                  <c:v>30000 Ͱ 40000</c:v>
                </c:pt>
                <c:pt idx="4">
                  <c:v>40000 Ͱ 50000</c:v>
                </c:pt>
                <c:pt idx="5">
                  <c:v>60000 Ͱ 70000</c:v>
                </c:pt>
                <c:pt idx="6">
                  <c:v>70000 Ͱ 80000</c:v>
                </c:pt>
                <c:pt idx="7">
                  <c:v>80000 Ͱ 90000</c:v>
                </c:pt>
                <c:pt idx="8">
                  <c:v>90000 Ͱ 100000</c:v>
                </c:pt>
                <c:pt idx="9">
                  <c:v>&gt; 100000</c:v>
                </c:pt>
              </c:strCache>
            </c:strRef>
          </c:cat>
          <c:val>
            <c:numRef>
              <c:f>'Variável Yearly bonus'!$C$8:$C$17</c:f>
              <c:numCache>
                <c:formatCode>General</c:formatCode>
                <c:ptCount val="10"/>
                <c:pt idx="0">
                  <c:v>511</c:v>
                </c:pt>
                <c:pt idx="1">
                  <c:v>101</c:v>
                </c:pt>
                <c:pt idx="2">
                  <c:v>36</c:v>
                </c:pt>
                <c:pt idx="3">
                  <c:v>18</c:v>
                </c:pt>
                <c:pt idx="4">
                  <c:v>19</c:v>
                </c:pt>
                <c:pt idx="5">
                  <c:v>21</c:v>
                </c:pt>
                <c:pt idx="6">
                  <c:v>37</c:v>
                </c:pt>
                <c:pt idx="7">
                  <c:v>18</c:v>
                </c:pt>
                <c:pt idx="8">
                  <c:v>13</c:v>
                </c:pt>
                <c:pt idx="9">
                  <c:v>29</c:v>
                </c:pt>
              </c:numCache>
            </c:numRef>
          </c:val>
          <c:extLst>
            <c:ext xmlns:c16="http://schemas.microsoft.com/office/drawing/2014/chart" uri="{C3380CC4-5D6E-409C-BE32-E72D297353CC}">
              <c16:uniqueId val="{00000000-63C8-43A6-801A-86CC26F39B36}"/>
            </c:ext>
          </c:extLst>
        </c:ser>
        <c:dLbls>
          <c:dLblPos val="outEnd"/>
          <c:showLegendKey val="0"/>
          <c:showVal val="1"/>
          <c:showCatName val="0"/>
          <c:showSerName val="0"/>
          <c:showPercent val="0"/>
          <c:showBubbleSize val="0"/>
        </c:dLbls>
        <c:gapWidth val="3"/>
        <c:overlap val="-24"/>
        <c:axId val="2019895423"/>
        <c:axId val="2019907071"/>
      </c:barChart>
      <c:catAx>
        <c:axId val="20198954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Bônus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907071"/>
        <c:crosses val="autoZero"/>
        <c:auto val="1"/>
        <c:lblAlgn val="ctr"/>
        <c:lblOffset val="100"/>
        <c:noMultiLvlLbl val="0"/>
      </c:catAx>
      <c:valAx>
        <c:axId val="201990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8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 do número de feriados dos entrevistados na Pesquisa Salarial </a:t>
            </a:r>
            <a:r>
              <a:rPr lang="pt-BR" sz="1600" b="1" i="0" u="none" strike="noStrike" baseline="0">
                <a:effectLst/>
              </a:rPr>
              <a:t>da União Europeia.</a:t>
            </a:r>
            <a:endParaRPr lang="pt-BR"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Number of vacation day'!$B$7:$B$13</c:f>
              <c:strCache>
                <c:ptCount val="7"/>
                <c:pt idx="0">
                  <c:v>0 Ͱ 15</c:v>
                </c:pt>
                <c:pt idx="1">
                  <c:v>15 Ͱ 30</c:v>
                </c:pt>
                <c:pt idx="2">
                  <c:v>30 Ͱ 45</c:v>
                </c:pt>
                <c:pt idx="3">
                  <c:v>45 Ͱ 60</c:v>
                </c:pt>
                <c:pt idx="4">
                  <c:v>60 Ͱ 75</c:v>
                </c:pt>
                <c:pt idx="5">
                  <c:v>75 Ͱ 90</c:v>
                </c:pt>
                <c:pt idx="6">
                  <c:v>90 Ͱ 105</c:v>
                </c:pt>
              </c:strCache>
            </c:strRef>
          </c:cat>
          <c:val>
            <c:numRef>
              <c:f>'Variável Number of vacation day'!$C$7:$C$13</c:f>
              <c:numCache>
                <c:formatCode>General</c:formatCode>
                <c:ptCount val="7"/>
                <c:pt idx="0">
                  <c:v>13</c:v>
                </c:pt>
                <c:pt idx="1">
                  <c:v>626</c:v>
                </c:pt>
                <c:pt idx="2">
                  <c:v>526</c:v>
                </c:pt>
                <c:pt idx="3">
                  <c:v>4</c:v>
                </c:pt>
                <c:pt idx="4">
                  <c:v>1</c:v>
                </c:pt>
                <c:pt idx="5">
                  <c:v>0</c:v>
                </c:pt>
                <c:pt idx="6">
                  <c:v>1</c:v>
                </c:pt>
              </c:numCache>
            </c:numRef>
          </c:val>
          <c:extLst>
            <c:ext xmlns:c16="http://schemas.microsoft.com/office/drawing/2014/chart" uri="{C3380CC4-5D6E-409C-BE32-E72D297353CC}">
              <c16:uniqueId val="{00000000-1CA5-4A9B-83F9-40573B45D1D7}"/>
            </c:ext>
          </c:extLst>
        </c:ser>
        <c:dLbls>
          <c:dLblPos val="outEnd"/>
          <c:showLegendKey val="0"/>
          <c:showVal val="1"/>
          <c:showCatName val="0"/>
          <c:showSerName val="0"/>
          <c:showPercent val="0"/>
          <c:showBubbleSize val="0"/>
        </c:dLbls>
        <c:gapWidth val="3"/>
        <c:overlap val="-24"/>
        <c:axId val="2019861727"/>
        <c:axId val="2019860479"/>
      </c:barChart>
      <c:catAx>
        <c:axId val="2019861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Dias de férias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860479"/>
        <c:crosses val="autoZero"/>
        <c:auto val="1"/>
        <c:lblAlgn val="ctr"/>
        <c:lblOffset val="100"/>
        <c:noMultiLvlLbl val="0"/>
      </c:catAx>
      <c:valAx>
        <c:axId val="201986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86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Frequência do idioma principal no trabalho dos entrevistados na Pesquisa Salarial </a:t>
            </a:r>
            <a:r>
              <a:rPr lang="pt-BR" sz="1600" b="1" i="0" u="none" strike="noStrike" baseline="0">
                <a:effectLst/>
              </a:rPr>
              <a:t>da União Europeia.</a:t>
            </a:r>
            <a:endParaRPr lang="pt-BR" b="1"/>
          </a:p>
        </c:rich>
      </c:tx>
      <c:layout>
        <c:manualLayout>
          <c:xMode val="edge"/>
          <c:yMode val="edge"/>
          <c:x val="0.13463188976377952"/>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5359492563429572"/>
          <c:y val="0.17171296296296298"/>
          <c:w val="0.81862729658792655"/>
          <c:h val="0.62271617089530473"/>
        </c:manualLayout>
      </c:layout>
      <c:barChart>
        <c:barDir val="col"/>
        <c:grouping val="stacked"/>
        <c:varyColors val="0"/>
        <c:ser>
          <c:idx val="0"/>
          <c:order val="0"/>
          <c:tx>
            <c:strRef>
              <c:f>'Variável Main language at work'!$C$4</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dLbls>
            <c:dLbl>
              <c:idx val="0"/>
              <c:layout>
                <c:manualLayout>
                  <c:x val="0"/>
                  <c:y val="-0.300925925925925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EC-4AB5-8389-D5BA94CE8D24}"/>
                </c:ext>
              </c:extLst>
            </c:dLbl>
            <c:dLbl>
              <c:idx val="1"/>
              <c:layout>
                <c:manualLayout>
                  <c:x val="0"/>
                  <c:y val="-8.79629629629630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EC-4AB5-8389-D5BA94CE8D24}"/>
                </c:ext>
              </c:extLst>
            </c:dLbl>
            <c:dLbl>
              <c:idx val="2"/>
              <c:layout>
                <c:manualLayout>
                  <c:x val="-1.0185067526415994E-16"/>
                  <c:y val="-5.09259259259260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EC-4AB5-8389-D5BA94CE8D24}"/>
                </c:ext>
              </c:extLst>
            </c:dLbl>
            <c:dLbl>
              <c:idx val="3"/>
              <c:layout>
                <c:manualLayout>
                  <c:x val="2.7777777777777779E-3"/>
                  <c:y val="-4.6296296296296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EC-4AB5-8389-D5BA94CE8D24}"/>
                </c:ext>
              </c:extLst>
            </c:dLbl>
            <c:dLbl>
              <c:idx val="4"/>
              <c:layout>
                <c:manualLayout>
                  <c:x val="0"/>
                  <c:y val="-5.09259259259260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EC-4AB5-8389-D5BA94CE8D24}"/>
                </c:ext>
              </c:extLst>
            </c:dLbl>
            <c:dLbl>
              <c:idx val="5"/>
              <c:layout>
                <c:manualLayout>
                  <c:x val="-1.0185067526415994E-16"/>
                  <c:y val="-4.6296296296296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EC-4AB5-8389-D5BA94CE8D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Main language at work'!$B$5:$B$10</c:f>
              <c:strCache>
                <c:ptCount val="6"/>
                <c:pt idx="0">
                  <c:v>English</c:v>
                </c:pt>
                <c:pt idx="1">
                  <c:v>German</c:v>
                </c:pt>
                <c:pt idx="2">
                  <c:v>Russian</c:v>
                </c:pt>
                <c:pt idx="3">
                  <c:v>Spanish</c:v>
                </c:pt>
                <c:pt idx="4">
                  <c:v>Italian</c:v>
                </c:pt>
                <c:pt idx="5">
                  <c:v>Outra</c:v>
                </c:pt>
              </c:strCache>
            </c:strRef>
          </c:cat>
          <c:val>
            <c:numRef>
              <c:f>'Variável Main language at work'!$C$5:$C$10</c:f>
              <c:numCache>
                <c:formatCode>General</c:formatCode>
                <c:ptCount val="6"/>
                <c:pt idx="0">
                  <c:v>1020</c:v>
                </c:pt>
                <c:pt idx="1">
                  <c:v>186</c:v>
                </c:pt>
                <c:pt idx="2">
                  <c:v>12</c:v>
                </c:pt>
                <c:pt idx="3">
                  <c:v>3</c:v>
                </c:pt>
                <c:pt idx="4">
                  <c:v>3</c:v>
                </c:pt>
                <c:pt idx="5">
                  <c:v>13</c:v>
                </c:pt>
              </c:numCache>
            </c:numRef>
          </c:val>
          <c:extLst>
            <c:ext xmlns:c16="http://schemas.microsoft.com/office/drawing/2014/chart" uri="{C3380CC4-5D6E-409C-BE32-E72D297353CC}">
              <c16:uniqueId val="{00000000-33EC-4AB5-8389-D5BA94CE8D24}"/>
            </c:ext>
          </c:extLst>
        </c:ser>
        <c:dLbls>
          <c:dLblPos val="ctr"/>
          <c:showLegendKey val="0"/>
          <c:showVal val="1"/>
          <c:showCatName val="0"/>
          <c:showSerName val="0"/>
          <c:showPercent val="0"/>
          <c:showBubbleSize val="0"/>
        </c:dLbls>
        <c:gapWidth val="150"/>
        <c:overlap val="100"/>
        <c:axId val="74527231"/>
        <c:axId val="74520159"/>
      </c:barChart>
      <c:catAx>
        <c:axId val="74527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Principais idiomas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520159"/>
        <c:crosses val="autoZero"/>
        <c:auto val="1"/>
        <c:lblAlgn val="ctr"/>
        <c:lblOffset val="100"/>
        <c:noMultiLvlLbl val="0"/>
      </c:catAx>
      <c:valAx>
        <c:axId val="7452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52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 do do tamanho das empresas dos entrevistados na Pesquisa Salarial </a:t>
            </a:r>
            <a:r>
              <a:rPr lang="pt-BR" sz="1600" b="1" i="0" u="none" strike="noStrike" baseline="0">
                <a:effectLst/>
              </a:rPr>
              <a:t>da União Europeia.</a:t>
            </a:r>
            <a:endParaRPr lang="pt-BR"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Company size'!$B$5:$B$9</c:f>
              <c:strCache>
                <c:ptCount val="5"/>
                <c:pt idx="0">
                  <c:v>0 Ͱ 10</c:v>
                </c:pt>
                <c:pt idx="1">
                  <c:v>11 Ͱ 50</c:v>
                </c:pt>
                <c:pt idx="2">
                  <c:v>51 Ͱ 100</c:v>
                </c:pt>
                <c:pt idx="3">
                  <c:v>100 Ͱ 1000</c:v>
                </c:pt>
                <c:pt idx="4">
                  <c:v>&gt; 1000</c:v>
                </c:pt>
              </c:strCache>
            </c:strRef>
          </c:cat>
          <c:val>
            <c:numRef>
              <c:f>'Variável Company size'!$C$5:$C$9</c:f>
              <c:numCache>
                <c:formatCode>General</c:formatCode>
                <c:ptCount val="5"/>
                <c:pt idx="0">
                  <c:v>61</c:v>
                </c:pt>
                <c:pt idx="1">
                  <c:v>174</c:v>
                </c:pt>
                <c:pt idx="2">
                  <c:v>147</c:v>
                </c:pt>
                <c:pt idx="3">
                  <c:v>405</c:v>
                </c:pt>
                <c:pt idx="4">
                  <c:v>448</c:v>
                </c:pt>
              </c:numCache>
            </c:numRef>
          </c:val>
          <c:extLst>
            <c:ext xmlns:c16="http://schemas.microsoft.com/office/drawing/2014/chart" uri="{C3380CC4-5D6E-409C-BE32-E72D297353CC}">
              <c16:uniqueId val="{00000000-7530-4C84-B459-776D4F4865D8}"/>
            </c:ext>
          </c:extLst>
        </c:ser>
        <c:dLbls>
          <c:dLblPos val="outEnd"/>
          <c:showLegendKey val="0"/>
          <c:showVal val="1"/>
          <c:showCatName val="0"/>
          <c:showSerName val="0"/>
          <c:showPercent val="0"/>
          <c:showBubbleSize val="0"/>
        </c:dLbls>
        <c:gapWidth val="3"/>
        <c:overlap val="-24"/>
        <c:axId val="2019851327"/>
        <c:axId val="2019861311"/>
      </c:barChart>
      <c:catAx>
        <c:axId val="2019851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Tamanho da empresa</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861311"/>
        <c:crosses val="autoZero"/>
        <c:auto val="1"/>
        <c:lblAlgn val="ctr"/>
        <c:lblOffset val="100"/>
        <c:noMultiLvlLbl val="0"/>
      </c:catAx>
      <c:valAx>
        <c:axId val="201986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985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dispersão para as variáveis X: Anos e Y: Salário bruto anual.</a:t>
            </a:r>
          </a:p>
        </c:rich>
      </c:tx>
      <c:layout>
        <c:manualLayout>
          <c:xMode val="edge"/>
          <c:yMode val="edge"/>
          <c:x val="0.24262479514004415"/>
          <c:y val="2.7905880434763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0096677682129113"/>
          <c:y val="7.8978167904568991E-2"/>
          <c:w val="0.87640974455657827"/>
          <c:h val="0.81658044770062077"/>
        </c:manualLayout>
      </c:layout>
      <c:scatterChart>
        <c:scatterStyle val="lineMarker"/>
        <c:varyColors val="0"/>
        <c:ser>
          <c:idx val="0"/>
          <c:order val="0"/>
          <c:tx>
            <c:strRef>
              <c:f>'Age x Yearly bruto salary'!$K$1</c:f>
              <c:strCache>
                <c:ptCount val="1"/>
                <c:pt idx="0">
                  <c:v>Yearly brutto salary (without bonus and stocks) in EUR</c:v>
                </c:pt>
              </c:strCache>
            </c:strRef>
          </c:tx>
          <c:spPr>
            <a:ln w="25400" cap="rnd">
              <a:noFill/>
              <a:round/>
            </a:ln>
            <a:effectLst/>
          </c:spPr>
          <c:marker>
            <c:symbol val="circle"/>
            <c:size val="5"/>
            <c:spPr>
              <a:solidFill>
                <a:schemeClr val="accent1"/>
              </a:solidFill>
              <a:ln w="9525">
                <a:solidFill>
                  <a:schemeClr val="accent1"/>
                </a:solidFill>
              </a:ln>
              <a:effectLst/>
            </c:spPr>
          </c:marker>
          <c:xVal>
            <c:numRef>
              <c:f>'Age x Yearly bruto salary'!$J$2:$J$1225</c:f>
              <c:numCache>
                <c:formatCode>General</c:formatCode>
                <c:ptCount val="1224"/>
                <c:pt idx="0">
                  <c:v>20</c:v>
                </c:pt>
                <c:pt idx="1">
                  <c:v>21</c:v>
                </c:pt>
                <c:pt idx="2">
                  <c:v>22</c:v>
                </c:pt>
                <c:pt idx="3">
                  <c:v>22</c:v>
                </c:pt>
                <c:pt idx="4">
                  <c:v>22</c:v>
                </c:pt>
                <c:pt idx="5">
                  <c:v>22</c:v>
                </c:pt>
                <c:pt idx="6">
                  <c:v>22</c:v>
                </c:pt>
                <c:pt idx="7">
                  <c:v>22</c:v>
                </c:pt>
                <c:pt idx="8">
                  <c:v>22</c:v>
                </c:pt>
                <c:pt idx="9">
                  <c:v>22</c:v>
                </c:pt>
                <c:pt idx="10">
                  <c:v>23</c:v>
                </c:pt>
                <c:pt idx="11">
                  <c:v>23</c:v>
                </c:pt>
                <c:pt idx="12">
                  <c:v>23</c:v>
                </c:pt>
                <c:pt idx="13">
                  <c:v>23</c:v>
                </c:pt>
                <c:pt idx="14">
                  <c:v>23</c:v>
                </c:pt>
                <c:pt idx="15">
                  <c:v>23</c:v>
                </c:pt>
                <c:pt idx="16">
                  <c:v>23</c:v>
                </c:pt>
                <c:pt idx="17">
                  <c:v>23</c:v>
                </c:pt>
                <c:pt idx="18">
                  <c:v>23</c:v>
                </c:pt>
                <c:pt idx="19">
                  <c:v>23</c:v>
                </c:pt>
                <c:pt idx="20">
                  <c:v>23</c:v>
                </c:pt>
                <c:pt idx="21">
                  <c:v>23</c:v>
                </c:pt>
                <c:pt idx="22">
                  <c:v>24</c:v>
                </c:pt>
                <c:pt idx="23">
                  <c:v>24</c:v>
                </c:pt>
                <c:pt idx="24">
                  <c:v>24</c:v>
                </c:pt>
                <c:pt idx="25">
                  <c:v>24</c:v>
                </c:pt>
                <c:pt idx="26">
                  <c:v>24</c:v>
                </c:pt>
                <c:pt idx="27">
                  <c:v>24</c:v>
                </c:pt>
                <c:pt idx="28">
                  <c:v>24</c:v>
                </c:pt>
                <c:pt idx="29">
                  <c:v>24</c:v>
                </c:pt>
                <c:pt idx="30">
                  <c:v>24</c:v>
                </c:pt>
                <c:pt idx="31">
                  <c:v>24</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pt idx="45">
                  <c:v>24</c:v>
                </c:pt>
                <c:pt idx="46">
                  <c:v>24</c:v>
                </c:pt>
                <c:pt idx="47">
                  <c:v>24</c:v>
                </c:pt>
                <c:pt idx="48">
                  <c:v>24</c:v>
                </c:pt>
                <c:pt idx="49">
                  <c:v>24</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25</c:v>
                </c:pt>
                <c:pt idx="66">
                  <c:v>25</c:v>
                </c:pt>
                <c:pt idx="67">
                  <c:v>25</c:v>
                </c:pt>
                <c:pt idx="68">
                  <c:v>25</c:v>
                </c:pt>
                <c:pt idx="69">
                  <c:v>25</c:v>
                </c:pt>
                <c:pt idx="70">
                  <c:v>25</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26</c:v>
                </c:pt>
                <c:pt idx="93">
                  <c:v>26</c:v>
                </c:pt>
                <c:pt idx="94">
                  <c:v>26</c:v>
                </c:pt>
                <c:pt idx="95">
                  <c:v>26</c:v>
                </c:pt>
                <c:pt idx="96">
                  <c:v>26</c:v>
                </c:pt>
                <c:pt idx="97">
                  <c:v>26</c:v>
                </c:pt>
                <c:pt idx="98">
                  <c:v>26</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27</c:v>
                </c:pt>
                <c:pt idx="152">
                  <c:v>27</c:v>
                </c:pt>
                <c:pt idx="153">
                  <c:v>27</c:v>
                </c:pt>
                <c:pt idx="154">
                  <c:v>27</c:v>
                </c:pt>
                <c:pt idx="155">
                  <c:v>27</c:v>
                </c:pt>
                <c:pt idx="156">
                  <c:v>27</c:v>
                </c:pt>
                <c:pt idx="157">
                  <c:v>27</c:v>
                </c:pt>
                <c:pt idx="158">
                  <c:v>27</c:v>
                </c:pt>
                <c:pt idx="159">
                  <c:v>27</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27</c:v>
                </c:pt>
                <c:pt idx="200">
                  <c:v>27</c:v>
                </c:pt>
                <c:pt idx="201">
                  <c:v>27</c:v>
                </c:pt>
                <c:pt idx="202">
                  <c:v>27</c:v>
                </c:pt>
                <c:pt idx="203">
                  <c:v>27</c:v>
                </c:pt>
                <c:pt idx="204">
                  <c:v>27</c:v>
                </c:pt>
                <c:pt idx="205">
                  <c:v>27</c:v>
                </c:pt>
                <c:pt idx="206">
                  <c:v>27</c:v>
                </c:pt>
                <c:pt idx="207">
                  <c:v>27</c:v>
                </c:pt>
                <c:pt idx="208">
                  <c:v>27</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28</c:v>
                </c:pt>
                <c:pt idx="236">
                  <c:v>28</c:v>
                </c:pt>
                <c:pt idx="237">
                  <c:v>28</c:v>
                </c:pt>
                <c:pt idx="238">
                  <c:v>28</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28</c:v>
                </c:pt>
                <c:pt idx="278">
                  <c:v>28</c:v>
                </c:pt>
                <c:pt idx="279">
                  <c:v>28</c:v>
                </c:pt>
                <c:pt idx="280">
                  <c:v>28</c:v>
                </c:pt>
                <c:pt idx="281">
                  <c:v>28</c:v>
                </c:pt>
                <c:pt idx="282">
                  <c:v>28</c:v>
                </c:pt>
                <c:pt idx="283">
                  <c:v>28</c:v>
                </c:pt>
                <c:pt idx="284">
                  <c:v>28</c:v>
                </c:pt>
                <c:pt idx="285">
                  <c:v>28</c:v>
                </c:pt>
                <c:pt idx="286">
                  <c:v>28</c:v>
                </c:pt>
                <c:pt idx="287">
                  <c:v>28</c:v>
                </c:pt>
                <c:pt idx="288">
                  <c:v>28</c:v>
                </c:pt>
                <c:pt idx="289">
                  <c:v>28</c:v>
                </c:pt>
                <c:pt idx="290">
                  <c:v>28</c:v>
                </c:pt>
                <c:pt idx="291">
                  <c:v>28</c:v>
                </c:pt>
                <c:pt idx="292">
                  <c:v>28</c:v>
                </c:pt>
                <c:pt idx="293">
                  <c:v>28</c:v>
                </c:pt>
                <c:pt idx="294">
                  <c:v>28</c:v>
                </c:pt>
                <c:pt idx="295">
                  <c:v>28</c:v>
                </c:pt>
                <c:pt idx="296">
                  <c:v>29</c:v>
                </c:pt>
                <c:pt idx="297">
                  <c:v>29</c:v>
                </c:pt>
                <c:pt idx="298">
                  <c:v>29</c:v>
                </c:pt>
                <c:pt idx="299">
                  <c:v>29</c:v>
                </c:pt>
                <c:pt idx="300">
                  <c:v>29</c:v>
                </c:pt>
                <c:pt idx="301">
                  <c:v>29</c:v>
                </c:pt>
                <c:pt idx="302">
                  <c:v>29</c:v>
                </c:pt>
                <c:pt idx="303">
                  <c:v>29</c:v>
                </c:pt>
                <c:pt idx="304">
                  <c:v>29</c:v>
                </c:pt>
                <c:pt idx="305">
                  <c:v>29</c:v>
                </c:pt>
                <c:pt idx="306">
                  <c:v>29</c:v>
                </c:pt>
                <c:pt idx="307">
                  <c:v>29</c:v>
                </c:pt>
                <c:pt idx="308">
                  <c:v>29</c:v>
                </c:pt>
                <c:pt idx="309">
                  <c:v>29</c:v>
                </c:pt>
                <c:pt idx="310">
                  <c:v>29</c:v>
                </c:pt>
                <c:pt idx="311">
                  <c:v>29</c:v>
                </c:pt>
                <c:pt idx="312">
                  <c:v>29</c:v>
                </c:pt>
                <c:pt idx="313">
                  <c:v>29</c:v>
                </c:pt>
                <c:pt idx="314">
                  <c:v>29</c:v>
                </c:pt>
                <c:pt idx="315">
                  <c:v>29</c:v>
                </c:pt>
                <c:pt idx="316">
                  <c:v>29</c:v>
                </c:pt>
                <c:pt idx="317">
                  <c:v>29</c:v>
                </c:pt>
                <c:pt idx="318">
                  <c:v>29</c:v>
                </c:pt>
                <c:pt idx="319">
                  <c:v>29</c:v>
                </c:pt>
                <c:pt idx="320">
                  <c:v>29</c:v>
                </c:pt>
                <c:pt idx="321">
                  <c:v>29</c:v>
                </c:pt>
                <c:pt idx="322">
                  <c:v>29</c:v>
                </c:pt>
                <c:pt idx="323">
                  <c:v>29</c:v>
                </c:pt>
                <c:pt idx="324">
                  <c:v>29</c:v>
                </c:pt>
                <c:pt idx="325">
                  <c:v>29</c:v>
                </c:pt>
                <c:pt idx="326">
                  <c:v>29</c:v>
                </c:pt>
                <c:pt idx="327">
                  <c:v>29</c:v>
                </c:pt>
                <c:pt idx="328">
                  <c:v>29</c:v>
                </c:pt>
                <c:pt idx="329">
                  <c:v>29</c:v>
                </c:pt>
                <c:pt idx="330">
                  <c:v>29</c:v>
                </c:pt>
                <c:pt idx="331">
                  <c:v>29</c:v>
                </c:pt>
                <c:pt idx="332">
                  <c:v>29</c:v>
                </c:pt>
                <c:pt idx="333">
                  <c:v>29</c:v>
                </c:pt>
                <c:pt idx="334">
                  <c:v>29</c:v>
                </c:pt>
                <c:pt idx="335">
                  <c:v>29</c:v>
                </c:pt>
                <c:pt idx="336">
                  <c:v>29</c:v>
                </c:pt>
                <c:pt idx="337">
                  <c:v>29</c:v>
                </c:pt>
                <c:pt idx="338">
                  <c:v>29</c:v>
                </c:pt>
                <c:pt idx="339">
                  <c:v>29</c:v>
                </c:pt>
                <c:pt idx="340">
                  <c:v>29</c:v>
                </c:pt>
                <c:pt idx="341">
                  <c:v>29</c:v>
                </c:pt>
                <c:pt idx="342">
                  <c:v>29</c:v>
                </c:pt>
                <c:pt idx="343">
                  <c:v>29</c:v>
                </c:pt>
                <c:pt idx="344">
                  <c:v>29</c:v>
                </c:pt>
                <c:pt idx="345">
                  <c:v>29</c:v>
                </c:pt>
                <c:pt idx="346">
                  <c:v>29</c:v>
                </c:pt>
                <c:pt idx="347">
                  <c:v>29</c:v>
                </c:pt>
                <c:pt idx="348">
                  <c:v>29</c:v>
                </c:pt>
                <c:pt idx="349">
                  <c:v>29</c:v>
                </c:pt>
                <c:pt idx="350">
                  <c:v>29</c:v>
                </c:pt>
                <c:pt idx="351">
                  <c:v>29</c:v>
                </c:pt>
                <c:pt idx="352">
                  <c:v>29</c:v>
                </c:pt>
                <c:pt idx="353">
                  <c:v>29</c:v>
                </c:pt>
                <c:pt idx="354">
                  <c:v>29</c:v>
                </c:pt>
                <c:pt idx="355">
                  <c:v>29</c:v>
                </c:pt>
                <c:pt idx="356">
                  <c:v>29</c:v>
                </c:pt>
                <c:pt idx="357">
                  <c:v>29</c:v>
                </c:pt>
                <c:pt idx="358">
                  <c:v>29</c:v>
                </c:pt>
                <c:pt idx="359">
                  <c:v>29</c:v>
                </c:pt>
                <c:pt idx="360">
                  <c:v>29</c:v>
                </c:pt>
                <c:pt idx="361">
                  <c:v>29</c:v>
                </c:pt>
                <c:pt idx="362">
                  <c:v>29</c:v>
                </c:pt>
                <c:pt idx="363">
                  <c:v>29</c:v>
                </c:pt>
                <c:pt idx="364">
                  <c:v>29</c:v>
                </c:pt>
                <c:pt idx="365">
                  <c:v>29</c:v>
                </c:pt>
                <c:pt idx="366">
                  <c:v>29</c:v>
                </c:pt>
                <c:pt idx="367">
                  <c:v>29</c:v>
                </c:pt>
                <c:pt idx="368">
                  <c:v>29</c:v>
                </c:pt>
                <c:pt idx="369">
                  <c:v>29</c:v>
                </c:pt>
                <c:pt idx="370">
                  <c:v>29</c:v>
                </c:pt>
                <c:pt idx="371">
                  <c:v>29</c:v>
                </c:pt>
                <c:pt idx="372">
                  <c:v>29</c:v>
                </c:pt>
                <c:pt idx="373">
                  <c:v>29</c:v>
                </c:pt>
                <c:pt idx="374">
                  <c:v>29</c:v>
                </c:pt>
                <c:pt idx="375">
                  <c:v>29</c:v>
                </c:pt>
                <c:pt idx="376">
                  <c:v>29</c:v>
                </c:pt>
                <c:pt idx="377">
                  <c:v>29</c:v>
                </c:pt>
                <c:pt idx="378">
                  <c:v>29</c:v>
                </c:pt>
                <c:pt idx="379">
                  <c:v>29</c:v>
                </c:pt>
                <c:pt idx="380">
                  <c:v>29</c:v>
                </c:pt>
                <c:pt idx="381">
                  <c:v>30</c:v>
                </c:pt>
                <c:pt idx="382">
                  <c:v>30</c:v>
                </c:pt>
                <c:pt idx="383">
                  <c:v>30</c:v>
                </c:pt>
                <c:pt idx="384">
                  <c:v>30</c:v>
                </c:pt>
                <c:pt idx="385">
                  <c:v>30</c:v>
                </c:pt>
                <c:pt idx="386">
                  <c:v>30</c:v>
                </c:pt>
                <c:pt idx="387">
                  <c:v>30</c:v>
                </c:pt>
                <c:pt idx="388">
                  <c:v>30</c:v>
                </c:pt>
                <c:pt idx="389">
                  <c:v>30</c:v>
                </c:pt>
                <c:pt idx="390">
                  <c:v>30</c:v>
                </c:pt>
                <c:pt idx="391">
                  <c:v>30</c:v>
                </c:pt>
                <c:pt idx="392">
                  <c:v>30</c:v>
                </c:pt>
                <c:pt idx="393">
                  <c:v>30</c:v>
                </c:pt>
                <c:pt idx="394">
                  <c:v>30</c:v>
                </c:pt>
                <c:pt idx="395">
                  <c:v>30</c:v>
                </c:pt>
                <c:pt idx="396">
                  <c:v>30</c:v>
                </c:pt>
                <c:pt idx="397">
                  <c:v>30</c:v>
                </c:pt>
                <c:pt idx="398">
                  <c:v>30</c:v>
                </c:pt>
                <c:pt idx="399">
                  <c:v>30</c:v>
                </c:pt>
                <c:pt idx="400">
                  <c:v>30</c:v>
                </c:pt>
                <c:pt idx="401">
                  <c:v>30</c:v>
                </c:pt>
                <c:pt idx="402">
                  <c:v>30</c:v>
                </c:pt>
                <c:pt idx="403">
                  <c:v>30</c:v>
                </c:pt>
                <c:pt idx="404">
                  <c:v>30</c:v>
                </c:pt>
                <c:pt idx="405">
                  <c:v>30</c:v>
                </c:pt>
                <c:pt idx="406">
                  <c:v>30</c:v>
                </c:pt>
                <c:pt idx="407">
                  <c:v>30</c:v>
                </c:pt>
                <c:pt idx="408">
                  <c:v>30</c:v>
                </c:pt>
                <c:pt idx="409">
                  <c:v>30</c:v>
                </c:pt>
                <c:pt idx="410">
                  <c:v>30</c:v>
                </c:pt>
                <c:pt idx="411">
                  <c:v>30</c:v>
                </c:pt>
                <c:pt idx="412">
                  <c:v>30</c:v>
                </c:pt>
                <c:pt idx="413">
                  <c:v>30</c:v>
                </c:pt>
                <c:pt idx="414">
                  <c:v>30</c:v>
                </c:pt>
                <c:pt idx="415">
                  <c:v>30</c:v>
                </c:pt>
                <c:pt idx="416">
                  <c:v>30</c:v>
                </c:pt>
                <c:pt idx="417">
                  <c:v>30</c:v>
                </c:pt>
                <c:pt idx="418">
                  <c:v>30</c:v>
                </c:pt>
                <c:pt idx="419">
                  <c:v>30</c:v>
                </c:pt>
                <c:pt idx="420">
                  <c:v>30</c:v>
                </c:pt>
                <c:pt idx="421">
                  <c:v>30</c:v>
                </c:pt>
                <c:pt idx="422">
                  <c:v>30</c:v>
                </c:pt>
                <c:pt idx="423">
                  <c:v>30</c:v>
                </c:pt>
                <c:pt idx="424">
                  <c:v>30</c:v>
                </c:pt>
                <c:pt idx="425">
                  <c:v>30</c:v>
                </c:pt>
                <c:pt idx="426">
                  <c:v>30</c:v>
                </c:pt>
                <c:pt idx="427">
                  <c:v>30</c:v>
                </c:pt>
                <c:pt idx="428">
                  <c:v>30</c:v>
                </c:pt>
                <c:pt idx="429">
                  <c:v>30</c:v>
                </c:pt>
                <c:pt idx="430">
                  <c:v>30</c:v>
                </c:pt>
                <c:pt idx="431">
                  <c:v>30</c:v>
                </c:pt>
                <c:pt idx="432">
                  <c:v>30</c:v>
                </c:pt>
                <c:pt idx="433">
                  <c:v>30</c:v>
                </c:pt>
                <c:pt idx="434">
                  <c:v>30</c:v>
                </c:pt>
                <c:pt idx="435">
                  <c:v>30</c:v>
                </c:pt>
                <c:pt idx="436">
                  <c:v>30</c:v>
                </c:pt>
                <c:pt idx="437">
                  <c:v>30</c:v>
                </c:pt>
                <c:pt idx="438">
                  <c:v>30</c:v>
                </c:pt>
                <c:pt idx="439">
                  <c:v>30</c:v>
                </c:pt>
                <c:pt idx="440">
                  <c:v>30</c:v>
                </c:pt>
                <c:pt idx="441">
                  <c:v>30</c:v>
                </c:pt>
                <c:pt idx="442">
                  <c:v>30</c:v>
                </c:pt>
                <c:pt idx="443">
                  <c:v>30</c:v>
                </c:pt>
                <c:pt idx="444">
                  <c:v>30</c:v>
                </c:pt>
                <c:pt idx="445">
                  <c:v>30</c:v>
                </c:pt>
                <c:pt idx="446">
                  <c:v>30</c:v>
                </c:pt>
                <c:pt idx="447">
                  <c:v>30</c:v>
                </c:pt>
                <c:pt idx="448">
                  <c:v>30</c:v>
                </c:pt>
                <c:pt idx="449">
                  <c:v>30</c:v>
                </c:pt>
                <c:pt idx="450">
                  <c:v>30</c:v>
                </c:pt>
                <c:pt idx="451">
                  <c:v>30</c:v>
                </c:pt>
                <c:pt idx="452">
                  <c:v>30</c:v>
                </c:pt>
                <c:pt idx="453">
                  <c:v>30</c:v>
                </c:pt>
                <c:pt idx="454">
                  <c:v>30</c:v>
                </c:pt>
                <c:pt idx="455">
                  <c:v>30</c:v>
                </c:pt>
                <c:pt idx="456">
                  <c:v>30</c:v>
                </c:pt>
                <c:pt idx="457">
                  <c:v>30</c:v>
                </c:pt>
                <c:pt idx="458">
                  <c:v>30</c:v>
                </c:pt>
                <c:pt idx="459">
                  <c:v>30</c:v>
                </c:pt>
                <c:pt idx="460">
                  <c:v>30</c:v>
                </c:pt>
                <c:pt idx="461">
                  <c:v>30</c:v>
                </c:pt>
                <c:pt idx="462">
                  <c:v>30</c:v>
                </c:pt>
                <c:pt idx="463">
                  <c:v>30</c:v>
                </c:pt>
                <c:pt idx="464">
                  <c:v>30</c:v>
                </c:pt>
                <c:pt idx="465">
                  <c:v>30</c:v>
                </c:pt>
                <c:pt idx="466">
                  <c:v>30</c:v>
                </c:pt>
                <c:pt idx="467">
                  <c:v>30</c:v>
                </c:pt>
                <c:pt idx="468">
                  <c:v>30</c:v>
                </c:pt>
                <c:pt idx="469">
                  <c:v>30</c:v>
                </c:pt>
                <c:pt idx="470">
                  <c:v>30</c:v>
                </c:pt>
                <c:pt idx="471">
                  <c:v>30</c:v>
                </c:pt>
                <c:pt idx="472">
                  <c:v>30</c:v>
                </c:pt>
                <c:pt idx="473">
                  <c:v>30</c:v>
                </c:pt>
                <c:pt idx="474">
                  <c:v>30</c:v>
                </c:pt>
                <c:pt idx="475">
                  <c:v>30</c:v>
                </c:pt>
                <c:pt idx="476">
                  <c:v>30</c:v>
                </c:pt>
                <c:pt idx="477">
                  <c:v>30</c:v>
                </c:pt>
                <c:pt idx="478">
                  <c:v>30</c:v>
                </c:pt>
                <c:pt idx="479">
                  <c:v>30</c:v>
                </c:pt>
                <c:pt idx="480">
                  <c:v>30</c:v>
                </c:pt>
                <c:pt idx="481">
                  <c:v>30</c:v>
                </c:pt>
                <c:pt idx="482">
                  <c:v>30</c:v>
                </c:pt>
                <c:pt idx="483">
                  <c:v>30</c:v>
                </c:pt>
                <c:pt idx="484">
                  <c:v>30</c:v>
                </c:pt>
                <c:pt idx="485">
                  <c:v>30</c:v>
                </c:pt>
                <c:pt idx="486">
                  <c:v>30</c:v>
                </c:pt>
                <c:pt idx="487">
                  <c:v>30</c:v>
                </c:pt>
                <c:pt idx="488">
                  <c:v>30</c:v>
                </c:pt>
                <c:pt idx="489">
                  <c:v>30</c:v>
                </c:pt>
                <c:pt idx="490">
                  <c:v>30</c:v>
                </c:pt>
                <c:pt idx="491">
                  <c:v>31</c:v>
                </c:pt>
                <c:pt idx="492">
                  <c:v>31</c:v>
                </c:pt>
                <c:pt idx="493">
                  <c:v>31</c:v>
                </c:pt>
                <c:pt idx="494">
                  <c:v>31</c:v>
                </c:pt>
                <c:pt idx="495">
                  <c:v>31</c:v>
                </c:pt>
                <c:pt idx="496">
                  <c:v>31</c:v>
                </c:pt>
                <c:pt idx="497">
                  <c:v>31</c:v>
                </c:pt>
                <c:pt idx="498">
                  <c:v>31</c:v>
                </c:pt>
                <c:pt idx="499">
                  <c:v>31</c:v>
                </c:pt>
                <c:pt idx="500">
                  <c:v>31</c:v>
                </c:pt>
                <c:pt idx="501">
                  <c:v>31</c:v>
                </c:pt>
                <c:pt idx="502">
                  <c:v>31</c:v>
                </c:pt>
                <c:pt idx="503">
                  <c:v>31</c:v>
                </c:pt>
                <c:pt idx="504">
                  <c:v>31</c:v>
                </c:pt>
                <c:pt idx="505">
                  <c:v>31</c:v>
                </c:pt>
                <c:pt idx="506">
                  <c:v>31</c:v>
                </c:pt>
                <c:pt idx="507">
                  <c:v>31</c:v>
                </c:pt>
                <c:pt idx="508">
                  <c:v>31</c:v>
                </c:pt>
                <c:pt idx="509">
                  <c:v>31</c:v>
                </c:pt>
                <c:pt idx="510">
                  <c:v>31</c:v>
                </c:pt>
                <c:pt idx="511">
                  <c:v>31</c:v>
                </c:pt>
                <c:pt idx="512">
                  <c:v>31</c:v>
                </c:pt>
                <c:pt idx="513">
                  <c:v>31</c:v>
                </c:pt>
                <c:pt idx="514">
                  <c:v>31</c:v>
                </c:pt>
                <c:pt idx="515">
                  <c:v>31</c:v>
                </c:pt>
                <c:pt idx="516">
                  <c:v>31</c:v>
                </c:pt>
                <c:pt idx="517">
                  <c:v>31</c:v>
                </c:pt>
                <c:pt idx="518">
                  <c:v>31</c:v>
                </c:pt>
                <c:pt idx="519">
                  <c:v>31</c:v>
                </c:pt>
                <c:pt idx="520">
                  <c:v>31</c:v>
                </c:pt>
                <c:pt idx="521">
                  <c:v>31</c:v>
                </c:pt>
                <c:pt idx="522">
                  <c:v>31</c:v>
                </c:pt>
                <c:pt idx="523">
                  <c:v>31</c:v>
                </c:pt>
                <c:pt idx="524">
                  <c:v>31</c:v>
                </c:pt>
                <c:pt idx="525">
                  <c:v>31</c:v>
                </c:pt>
                <c:pt idx="526">
                  <c:v>31</c:v>
                </c:pt>
                <c:pt idx="527">
                  <c:v>31</c:v>
                </c:pt>
                <c:pt idx="528">
                  <c:v>31</c:v>
                </c:pt>
                <c:pt idx="529">
                  <c:v>31</c:v>
                </c:pt>
                <c:pt idx="530">
                  <c:v>31</c:v>
                </c:pt>
                <c:pt idx="531">
                  <c:v>31</c:v>
                </c:pt>
                <c:pt idx="532">
                  <c:v>31</c:v>
                </c:pt>
                <c:pt idx="533">
                  <c:v>31</c:v>
                </c:pt>
                <c:pt idx="534">
                  <c:v>31</c:v>
                </c:pt>
                <c:pt idx="535">
                  <c:v>31</c:v>
                </c:pt>
                <c:pt idx="536">
                  <c:v>31</c:v>
                </c:pt>
                <c:pt idx="537">
                  <c:v>31</c:v>
                </c:pt>
                <c:pt idx="538">
                  <c:v>31</c:v>
                </c:pt>
                <c:pt idx="539">
                  <c:v>31</c:v>
                </c:pt>
                <c:pt idx="540">
                  <c:v>31</c:v>
                </c:pt>
                <c:pt idx="541">
                  <c:v>31</c:v>
                </c:pt>
                <c:pt idx="542">
                  <c:v>31</c:v>
                </c:pt>
                <c:pt idx="543">
                  <c:v>31</c:v>
                </c:pt>
                <c:pt idx="544">
                  <c:v>31</c:v>
                </c:pt>
                <c:pt idx="545">
                  <c:v>31</c:v>
                </c:pt>
                <c:pt idx="546">
                  <c:v>31</c:v>
                </c:pt>
                <c:pt idx="547">
                  <c:v>31</c:v>
                </c:pt>
                <c:pt idx="548">
                  <c:v>31</c:v>
                </c:pt>
                <c:pt idx="549">
                  <c:v>31</c:v>
                </c:pt>
                <c:pt idx="550">
                  <c:v>31</c:v>
                </c:pt>
                <c:pt idx="551">
                  <c:v>31</c:v>
                </c:pt>
                <c:pt idx="552">
                  <c:v>31</c:v>
                </c:pt>
                <c:pt idx="553">
                  <c:v>31</c:v>
                </c:pt>
                <c:pt idx="554">
                  <c:v>31</c:v>
                </c:pt>
                <c:pt idx="555">
                  <c:v>31</c:v>
                </c:pt>
                <c:pt idx="556">
                  <c:v>31</c:v>
                </c:pt>
                <c:pt idx="557">
                  <c:v>31</c:v>
                </c:pt>
                <c:pt idx="558">
                  <c:v>31</c:v>
                </c:pt>
                <c:pt idx="559">
                  <c:v>31</c:v>
                </c:pt>
                <c:pt idx="560">
                  <c:v>31</c:v>
                </c:pt>
                <c:pt idx="561">
                  <c:v>31</c:v>
                </c:pt>
                <c:pt idx="562">
                  <c:v>31</c:v>
                </c:pt>
                <c:pt idx="563">
                  <c:v>31</c:v>
                </c:pt>
                <c:pt idx="564">
                  <c:v>31</c:v>
                </c:pt>
                <c:pt idx="565">
                  <c:v>31</c:v>
                </c:pt>
                <c:pt idx="566">
                  <c:v>31</c:v>
                </c:pt>
                <c:pt idx="567">
                  <c:v>31</c:v>
                </c:pt>
                <c:pt idx="568">
                  <c:v>31</c:v>
                </c:pt>
                <c:pt idx="569">
                  <c:v>31</c:v>
                </c:pt>
                <c:pt idx="570">
                  <c:v>31</c:v>
                </c:pt>
                <c:pt idx="571">
                  <c:v>31</c:v>
                </c:pt>
                <c:pt idx="572">
                  <c:v>31</c:v>
                </c:pt>
                <c:pt idx="573">
                  <c:v>31</c:v>
                </c:pt>
                <c:pt idx="574">
                  <c:v>31</c:v>
                </c:pt>
                <c:pt idx="575">
                  <c:v>31</c:v>
                </c:pt>
                <c:pt idx="576">
                  <c:v>31</c:v>
                </c:pt>
                <c:pt idx="577">
                  <c:v>31</c:v>
                </c:pt>
                <c:pt idx="578">
                  <c:v>32</c:v>
                </c:pt>
                <c:pt idx="579">
                  <c:v>32</c:v>
                </c:pt>
                <c:pt idx="580">
                  <c:v>32</c:v>
                </c:pt>
                <c:pt idx="581">
                  <c:v>32</c:v>
                </c:pt>
                <c:pt idx="582">
                  <c:v>32</c:v>
                </c:pt>
                <c:pt idx="583">
                  <c:v>32</c:v>
                </c:pt>
                <c:pt idx="584">
                  <c:v>32</c:v>
                </c:pt>
                <c:pt idx="585">
                  <c:v>32</c:v>
                </c:pt>
                <c:pt idx="586">
                  <c:v>32</c:v>
                </c:pt>
                <c:pt idx="587">
                  <c:v>32</c:v>
                </c:pt>
                <c:pt idx="588">
                  <c:v>32</c:v>
                </c:pt>
                <c:pt idx="589">
                  <c:v>32</c:v>
                </c:pt>
                <c:pt idx="590">
                  <c:v>32</c:v>
                </c:pt>
                <c:pt idx="591">
                  <c:v>32</c:v>
                </c:pt>
                <c:pt idx="592">
                  <c:v>32</c:v>
                </c:pt>
                <c:pt idx="593">
                  <c:v>32</c:v>
                </c:pt>
                <c:pt idx="594">
                  <c:v>32</c:v>
                </c:pt>
                <c:pt idx="595">
                  <c:v>32</c:v>
                </c:pt>
                <c:pt idx="596">
                  <c:v>32</c:v>
                </c:pt>
                <c:pt idx="597">
                  <c:v>32</c:v>
                </c:pt>
                <c:pt idx="598">
                  <c:v>32</c:v>
                </c:pt>
                <c:pt idx="599">
                  <c:v>32</c:v>
                </c:pt>
                <c:pt idx="600">
                  <c:v>32</c:v>
                </c:pt>
                <c:pt idx="601">
                  <c:v>32</c:v>
                </c:pt>
                <c:pt idx="602">
                  <c:v>32</c:v>
                </c:pt>
                <c:pt idx="603">
                  <c:v>32</c:v>
                </c:pt>
                <c:pt idx="604">
                  <c:v>32</c:v>
                </c:pt>
                <c:pt idx="605">
                  <c:v>32</c:v>
                </c:pt>
                <c:pt idx="606">
                  <c:v>32</c:v>
                </c:pt>
                <c:pt idx="607">
                  <c:v>32</c:v>
                </c:pt>
                <c:pt idx="608">
                  <c:v>32</c:v>
                </c:pt>
                <c:pt idx="609">
                  <c:v>32</c:v>
                </c:pt>
                <c:pt idx="610">
                  <c:v>32</c:v>
                </c:pt>
                <c:pt idx="611">
                  <c:v>32</c:v>
                </c:pt>
                <c:pt idx="612">
                  <c:v>32</c:v>
                </c:pt>
                <c:pt idx="613">
                  <c:v>32</c:v>
                </c:pt>
                <c:pt idx="614">
                  <c:v>32</c:v>
                </c:pt>
                <c:pt idx="615">
                  <c:v>32</c:v>
                </c:pt>
                <c:pt idx="616">
                  <c:v>32</c:v>
                </c:pt>
                <c:pt idx="617">
                  <c:v>32</c:v>
                </c:pt>
                <c:pt idx="618">
                  <c:v>32</c:v>
                </c:pt>
                <c:pt idx="619">
                  <c:v>32</c:v>
                </c:pt>
                <c:pt idx="620">
                  <c:v>32</c:v>
                </c:pt>
                <c:pt idx="621">
                  <c:v>32</c:v>
                </c:pt>
                <c:pt idx="622">
                  <c:v>32</c:v>
                </c:pt>
                <c:pt idx="623">
                  <c:v>32</c:v>
                </c:pt>
                <c:pt idx="624">
                  <c:v>32</c:v>
                </c:pt>
                <c:pt idx="625">
                  <c:v>32</c:v>
                </c:pt>
                <c:pt idx="626">
                  <c:v>32</c:v>
                </c:pt>
                <c:pt idx="627">
                  <c:v>32</c:v>
                </c:pt>
                <c:pt idx="628">
                  <c:v>32</c:v>
                </c:pt>
                <c:pt idx="629">
                  <c:v>32</c:v>
                </c:pt>
                <c:pt idx="630">
                  <c:v>32</c:v>
                </c:pt>
                <c:pt idx="631">
                  <c:v>32</c:v>
                </c:pt>
                <c:pt idx="632">
                  <c:v>32</c:v>
                </c:pt>
                <c:pt idx="633">
                  <c:v>32</c:v>
                </c:pt>
                <c:pt idx="634">
                  <c:v>32</c:v>
                </c:pt>
                <c:pt idx="635">
                  <c:v>32</c:v>
                </c:pt>
                <c:pt idx="636">
                  <c:v>32</c:v>
                </c:pt>
                <c:pt idx="637">
                  <c:v>32</c:v>
                </c:pt>
                <c:pt idx="638">
                  <c:v>32</c:v>
                </c:pt>
                <c:pt idx="639">
                  <c:v>32</c:v>
                </c:pt>
                <c:pt idx="640">
                  <c:v>32</c:v>
                </c:pt>
                <c:pt idx="641">
                  <c:v>32</c:v>
                </c:pt>
                <c:pt idx="642">
                  <c:v>32</c:v>
                </c:pt>
                <c:pt idx="643">
                  <c:v>32</c:v>
                </c:pt>
                <c:pt idx="644">
                  <c:v>32</c:v>
                </c:pt>
                <c:pt idx="645">
                  <c:v>32</c:v>
                </c:pt>
                <c:pt idx="646">
                  <c:v>32</c:v>
                </c:pt>
                <c:pt idx="647">
                  <c:v>32</c:v>
                </c:pt>
                <c:pt idx="648">
                  <c:v>32</c:v>
                </c:pt>
                <c:pt idx="649">
                  <c:v>32</c:v>
                </c:pt>
                <c:pt idx="650">
                  <c:v>32</c:v>
                </c:pt>
                <c:pt idx="651">
                  <c:v>32</c:v>
                </c:pt>
                <c:pt idx="652">
                  <c:v>32</c:v>
                </c:pt>
                <c:pt idx="653">
                  <c:v>32</c:v>
                </c:pt>
                <c:pt idx="654">
                  <c:v>32</c:v>
                </c:pt>
                <c:pt idx="655">
                  <c:v>32</c:v>
                </c:pt>
                <c:pt idx="656">
                  <c:v>32</c:v>
                </c:pt>
                <c:pt idx="657">
                  <c:v>32</c:v>
                </c:pt>
                <c:pt idx="658">
                  <c:v>32</c:v>
                </c:pt>
                <c:pt idx="659">
                  <c:v>32</c:v>
                </c:pt>
                <c:pt idx="660">
                  <c:v>32</c:v>
                </c:pt>
                <c:pt idx="661">
                  <c:v>32</c:v>
                </c:pt>
                <c:pt idx="662">
                  <c:v>32</c:v>
                </c:pt>
                <c:pt idx="663">
                  <c:v>32</c:v>
                </c:pt>
                <c:pt idx="664">
                  <c:v>32</c:v>
                </c:pt>
                <c:pt idx="665">
                  <c:v>32</c:v>
                </c:pt>
                <c:pt idx="666">
                  <c:v>32</c:v>
                </c:pt>
                <c:pt idx="667">
                  <c:v>32</c:v>
                </c:pt>
                <c:pt idx="668">
                  <c:v>32</c:v>
                </c:pt>
                <c:pt idx="669">
                  <c:v>32</c:v>
                </c:pt>
                <c:pt idx="670">
                  <c:v>32</c:v>
                </c:pt>
                <c:pt idx="671">
                  <c:v>32</c:v>
                </c:pt>
                <c:pt idx="672">
                  <c:v>33</c:v>
                </c:pt>
                <c:pt idx="673">
                  <c:v>33</c:v>
                </c:pt>
                <c:pt idx="674">
                  <c:v>33</c:v>
                </c:pt>
                <c:pt idx="675">
                  <c:v>33</c:v>
                </c:pt>
                <c:pt idx="676">
                  <c:v>33</c:v>
                </c:pt>
                <c:pt idx="677">
                  <c:v>33</c:v>
                </c:pt>
                <c:pt idx="678">
                  <c:v>33</c:v>
                </c:pt>
                <c:pt idx="679">
                  <c:v>33</c:v>
                </c:pt>
                <c:pt idx="680">
                  <c:v>33</c:v>
                </c:pt>
                <c:pt idx="681">
                  <c:v>33</c:v>
                </c:pt>
                <c:pt idx="682">
                  <c:v>33</c:v>
                </c:pt>
                <c:pt idx="683">
                  <c:v>33</c:v>
                </c:pt>
                <c:pt idx="684">
                  <c:v>33</c:v>
                </c:pt>
                <c:pt idx="685">
                  <c:v>33</c:v>
                </c:pt>
                <c:pt idx="686">
                  <c:v>33</c:v>
                </c:pt>
                <c:pt idx="687">
                  <c:v>33</c:v>
                </c:pt>
                <c:pt idx="688">
                  <c:v>33</c:v>
                </c:pt>
                <c:pt idx="689">
                  <c:v>33</c:v>
                </c:pt>
                <c:pt idx="690">
                  <c:v>33</c:v>
                </c:pt>
                <c:pt idx="691">
                  <c:v>33</c:v>
                </c:pt>
                <c:pt idx="692">
                  <c:v>33</c:v>
                </c:pt>
                <c:pt idx="693">
                  <c:v>33</c:v>
                </c:pt>
                <c:pt idx="694">
                  <c:v>33</c:v>
                </c:pt>
                <c:pt idx="695">
                  <c:v>33</c:v>
                </c:pt>
                <c:pt idx="696">
                  <c:v>33</c:v>
                </c:pt>
                <c:pt idx="697">
                  <c:v>33</c:v>
                </c:pt>
                <c:pt idx="698">
                  <c:v>33</c:v>
                </c:pt>
                <c:pt idx="699">
                  <c:v>33</c:v>
                </c:pt>
                <c:pt idx="700">
                  <c:v>33</c:v>
                </c:pt>
                <c:pt idx="701">
                  <c:v>33</c:v>
                </c:pt>
                <c:pt idx="702">
                  <c:v>33</c:v>
                </c:pt>
                <c:pt idx="703">
                  <c:v>33</c:v>
                </c:pt>
                <c:pt idx="704">
                  <c:v>33</c:v>
                </c:pt>
                <c:pt idx="705">
                  <c:v>33</c:v>
                </c:pt>
                <c:pt idx="706">
                  <c:v>33</c:v>
                </c:pt>
                <c:pt idx="707">
                  <c:v>33</c:v>
                </c:pt>
                <c:pt idx="708">
                  <c:v>33</c:v>
                </c:pt>
                <c:pt idx="709">
                  <c:v>33</c:v>
                </c:pt>
                <c:pt idx="710">
                  <c:v>33</c:v>
                </c:pt>
                <c:pt idx="711">
                  <c:v>33</c:v>
                </c:pt>
                <c:pt idx="712">
                  <c:v>33</c:v>
                </c:pt>
                <c:pt idx="713">
                  <c:v>33</c:v>
                </c:pt>
                <c:pt idx="714">
                  <c:v>33</c:v>
                </c:pt>
                <c:pt idx="715">
                  <c:v>33</c:v>
                </c:pt>
                <c:pt idx="716">
                  <c:v>33</c:v>
                </c:pt>
                <c:pt idx="717">
                  <c:v>33</c:v>
                </c:pt>
                <c:pt idx="718">
                  <c:v>33</c:v>
                </c:pt>
                <c:pt idx="719">
                  <c:v>33</c:v>
                </c:pt>
                <c:pt idx="720">
                  <c:v>33</c:v>
                </c:pt>
                <c:pt idx="721">
                  <c:v>33</c:v>
                </c:pt>
                <c:pt idx="722">
                  <c:v>33</c:v>
                </c:pt>
                <c:pt idx="723">
                  <c:v>33</c:v>
                </c:pt>
                <c:pt idx="724">
                  <c:v>33</c:v>
                </c:pt>
                <c:pt idx="725">
                  <c:v>33</c:v>
                </c:pt>
                <c:pt idx="726">
                  <c:v>33</c:v>
                </c:pt>
                <c:pt idx="727">
                  <c:v>33</c:v>
                </c:pt>
                <c:pt idx="728">
                  <c:v>33</c:v>
                </c:pt>
                <c:pt idx="729">
                  <c:v>33</c:v>
                </c:pt>
                <c:pt idx="730">
                  <c:v>33</c:v>
                </c:pt>
                <c:pt idx="731">
                  <c:v>33</c:v>
                </c:pt>
                <c:pt idx="732">
                  <c:v>33</c:v>
                </c:pt>
                <c:pt idx="733">
                  <c:v>33</c:v>
                </c:pt>
                <c:pt idx="734">
                  <c:v>33</c:v>
                </c:pt>
                <c:pt idx="735">
                  <c:v>33</c:v>
                </c:pt>
                <c:pt idx="736">
                  <c:v>33</c:v>
                </c:pt>
                <c:pt idx="737">
                  <c:v>33</c:v>
                </c:pt>
                <c:pt idx="738">
                  <c:v>33</c:v>
                </c:pt>
                <c:pt idx="739">
                  <c:v>33</c:v>
                </c:pt>
                <c:pt idx="740">
                  <c:v>33</c:v>
                </c:pt>
                <c:pt idx="741">
                  <c:v>33</c:v>
                </c:pt>
                <c:pt idx="742">
                  <c:v>33</c:v>
                </c:pt>
                <c:pt idx="743">
                  <c:v>33</c:v>
                </c:pt>
                <c:pt idx="744">
                  <c:v>33</c:v>
                </c:pt>
                <c:pt idx="745">
                  <c:v>33</c:v>
                </c:pt>
                <c:pt idx="746">
                  <c:v>33</c:v>
                </c:pt>
                <c:pt idx="747">
                  <c:v>33</c:v>
                </c:pt>
                <c:pt idx="748">
                  <c:v>33</c:v>
                </c:pt>
                <c:pt idx="749">
                  <c:v>33</c:v>
                </c:pt>
                <c:pt idx="750">
                  <c:v>33</c:v>
                </c:pt>
                <c:pt idx="751">
                  <c:v>33</c:v>
                </c:pt>
                <c:pt idx="752">
                  <c:v>33</c:v>
                </c:pt>
                <c:pt idx="753">
                  <c:v>33</c:v>
                </c:pt>
                <c:pt idx="754">
                  <c:v>33</c:v>
                </c:pt>
                <c:pt idx="755">
                  <c:v>33</c:v>
                </c:pt>
                <c:pt idx="756">
                  <c:v>33</c:v>
                </c:pt>
                <c:pt idx="757">
                  <c:v>33</c:v>
                </c:pt>
                <c:pt idx="758">
                  <c:v>33</c:v>
                </c:pt>
                <c:pt idx="759">
                  <c:v>33</c:v>
                </c:pt>
                <c:pt idx="760">
                  <c:v>33</c:v>
                </c:pt>
                <c:pt idx="761">
                  <c:v>33</c:v>
                </c:pt>
                <c:pt idx="762">
                  <c:v>33</c:v>
                </c:pt>
                <c:pt idx="763">
                  <c:v>33</c:v>
                </c:pt>
                <c:pt idx="764">
                  <c:v>33</c:v>
                </c:pt>
                <c:pt idx="765">
                  <c:v>33</c:v>
                </c:pt>
                <c:pt idx="766">
                  <c:v>34</c:v>
                </c:pt>
                <c:pt idx="767">
                  <c:v>34</c:v>
                </c:pt>
                <c:pt idx="768">
                  <c:v>34</c:v>
                </c:pt>
                <c:pt idx="769">
                  <c:v>34</c:v>
                </c:pt>
                <c:pt idx="770">
                  <c:v>34</c:v>
                </c:pt>
                <c:pt idx="771">
                  <c:v>34</c:v>
                </c:pt>
                <c:pt idx="772">
                  <c:v>34</c:v>
                </c:pt>
                <c:pt idx="773">
                  <c:v>34</c:v>
                </c:pt>
                <c:pt idx="774">
                  <c:v>34</c:v>
                </c:pt>
                <c:pt idx="775">
                  <c:v>34</c:v>
                </c:pt>
                <c:pt idx="776">
                  <c:v>34</c:v>
                </c:pt>
                <c:pt idx="777">
                  <c:v>34</c:v>
                </c:pt>
                <c:pt idx="778">
                  <c:v>34</c:v>
                </c:pt>
                <c:pt idx="779">
                  <c:v>34</c:v>
                </c:pt>
                <c:pt idx="780">
                  <c:v>34</c:v>
                </c:pt>
                <c:pt idx="781">
                  <c:v>34</c:v>
                </c:pt>
                <c:pt idx="782">
                  <c:v>34</c:v>
                </c:pt>
                <c:pt idx="783">
                  <c:v>34</c:v>
                </c:pt>
                <c:pt idx="784">
                  <c:v>34</c:v>
                </c:pt>
                <c:pt idx="785">
                  <c:v>34</c:v>
                </c:pt>
                <c:pt idx="786">
                  <c:v>34</c:v>
                </c:pt>
                <c:pt idx="787">
                  <c:v>34</c:v>
                </c:pt>
                <c:pt idx="788">
                  <c:v>34</c:v>
                </c:pt>
                <c:pt idx="789">
                  <c:v>34</c:v>
                </c:pt>
                <c:pt idx="790">
                  <c:v>34</c:v>
                </c:pt>
                <c:pt idx="791">
                  <c:v>34</c:v>
                </c:pt>
                <c:pt idx="792">
                  <c:v>34</c:v>
                </c:pt>
                <c:pt idx="793">
                  <c:v>34</c:v>
                </c:pt>
                <c:pt idx="794">
                  <c:v>34</c:v>
                </c:pt>
                <c:pt idx="795">
                  <c:v>34</c:v>
                </c:pt>
                <c:pt idx="796">
                  <c:v>34</c:v>
                </c:pt>
                <c:pt idx="797">
                  <c:v>34</c:v>
                </c:pt>
                <c:pt idx="798">
                  <c:v>34</c:v>
                </c:pt>
                <c:pt idx="799">
                  <c:v>34</c:v>
                </c:pt>
                <c:pt idx="800">
                  <c:v>34</c:v>
                </c:pt>
                <c:pt idx="801">
                  <c:v>34</c:v>
                </c:pt>
                <c:pt idx="802">
                  <c:v>34</c:v>
                </c:pt>
                <c:pt idx="803">
                  <c:v>34</c:v>
                </c:pt>
                <c:pt idx="804">
                  <c:v>34</c:v>
                </c:pt>
                <c:pt idx="805">
                  <c:v>34</c:v>
                </c:pt>
                <c:pt idx="806">
                  <c:v>34</c:v>
                </c:pt>
                <c:pt idx="807">
                  <c:v>34</c:v>
                </c:pt>
                <c:pt idx="808">
                  <c:v>34</c:v>
                </c:pt>
                <c:pt idx="809">
                  <c:v>34</c:v>
                </c:pt>
                <c:pt idx="810">
                  <c:v>34</c:v>
                </c:pt>
                <c:pt idx="811">
                  <c:v>34</c:v>
                </c:pt>
                <c:pt idx="812">
                  <c:v>34</c:v>
                </c:pt>
                <c:pt idx="813">
                  <c:v>34</c:v>
                </c:pt>
                <c:pt idx="814">
                  <c:v>34</c:v>
                </c:pt>
                <c:pt idx="815">
                  <c:v>34</c:v>
                </c:pt>
                <c:pt idx="816">
                  <c:v>34</c:v>
                </c:pt>
                <c:pt idx="817">
                  <c:v>34</c:v>
                </c:pt>
                <c:pt idx="818">
                  <c:v>34</c:v>
                </c:pt>
                <c:pt idx="819">
                  <c:v>34</c:v>
                </c:pt>
                <c:pt idx="820">
                  <c:v>34</c:v>
                </c:pt>
                <c:pt idx="821">
                  <c:v>34</c:v>
                </c:pt>
                <c:pt idx="822">
                  <c:v>34</c:v>
                </c:pt>
                <c:pt idx="823">
                  <c:v>34</c:v>
                </c:pt>
                <c:pt idx="824">
                  <c:v>34</c:v>
                </c:pt>
                <c:pt idx="825">
                  <c:v>34</c:v>
                </c:pt>
                <c:pt idx="826">
                  <c:v>34</c:v>
                </c:pt>
                <c:pt idx="827">
                  <c:v>34</c:v>
                </c:pt>
                <c:pt idx="828">
                  <c:v>34</c:v>
                </c:pt>
                <c:pt idx="829">
                  <c:v>34</c:v>
                </c:pt>
                <c:pt idx="830">
                  <c:v>34</c:v>
                </c:pt>
                <c:pt idx="831">
                  <c:v>34</c:v>
                </c:pt>
                <c:pt idx="832">
                  <c:v>34</c:v>
                </c:pt>
                <c:pt idx="833">
                  <c:v>34</c:v>
                </c:pt>
                <c:pt idx="834">
                  <c:v>34</c:v>
                </c:pt>
                <c:pt idx="835">
                  <c:v>34</c:v>
                </c:pt>
                <c:pt idx="836">
                  <c:v>34</c:v>
                </c:pt>
                <c:pt idx="837">
                  <c:v>34</c:v>
                </c:pt>
                <c:pt idx="838">
                  <c:v>34</c:v>
                </c:pt>
                <c:pt idx="839">
                  <c:v>34</c:v>
                </c:pt>
                <c:pt idx="840">
                  <c:v>35</c:v>
                </c:pt>
                <c:pt idx="841">
                  <c:v>35</c:v>
                </c:pt>
                <c:pt idx="842">
                  <c:v>35</c:v>
                </c:pt>
                <c:pt idx="843">
                  <c:v>35</c:v>
                </c:pt>
                <c:pt idx="844">
                  <c:v>35</c:v>
                </c:pt>
                <c:pt idx="845">
                  <c:v>35</c:v>
                </c:pt>
                <c:pt idx="846">
                  <c:v>35</c:v>
                </c:pt>
                <c:pt idx="847">
                  <c:v>35</c:v>
                </c:pt>
                <c:pt idx="848">
                  <c:v>35</c:v>
                </c:pt>
                <c:pt idx="849">
                  <c:v>35</c:v>
                </c:pt>
                <c:pt idx="850">
                  <c:v>35</c:v>
                </c:pt>
                <c:pt idx="851">
                  <c:v>35</c:v>
                </c:pt>
                <c:pt idx="852">
                  <c:v>35</c:v>
                </c:pt>
                <c:pt idx="853">
                  <c:v>35</c:v>
                </c:pt>
                <c:pt idx="854">
                  <c:v>35</c:v>
                </c:pt>
                <c:pt idx="855">
                  <c:v>35</c:v>
                </c:pt>
                <c:pt idx="856">
                  <c:v>35</c:v>
                </c:pt>
                <c:pt idx="857">
                  <c:v>35</c:v>
                </c:pt>
                <c:pt idx="858">
                  <c:v>35</c:v>
                </c:pt>
                <c:pt idx="859">
                  <c:v>35</c:v>
                </c:pt>
                <c:pt idx="860">
                  <c:v>35</c:v>
                </c:pt>
                <c:pt idx="861">
                  <c:v>35</c:v>
                </c:pt>
                <c:pt idx="862">
                  <c:v>35</c:v>
                </c:pt>
                <c:pt idx="863">
                  <c:v>35</c:v>
                </c:pt>
                <c:pt idx="864">
                  <c:v>35</c:v>
                </c:pt>
                <c:pt idx="865">
                  <c:v>35</c:v>
                </c:pt>
                <c:pt idx="866">
                  <c:v>35</c:v>
                </c:pt>
                <c:pt idx="867">
                  <c:v>35</c:v>
                </c:pt>
                <c:pt idx="868">
                  <c:v>35</c:v>
                </c:pt>
                <c:pt idx="869">
                  <c:v>35</c:v>
                </c:pt>
                <c:pt idx="870">
                  <c:v>35</c:v>
                </c:pt>
                <c:pt idx="871">
                  <c:v>35</c:v>
                </c:pt>
                <c:pt idx="872">
                  <c:v>35</c:v>
                </c:pt>
                <c:pt idx="873">
                  <c:v>35</c:v>
                </c:pt>
                <c:pt idx="874">
                  <c:v>35</c:v>
                </c:pt>
                <c:pt idx="875">
                  <c:v>35</c:v>
                </c:pt>
                <c:pt idx="876">
                  <c:v>35</c:v>
                </c:pt>
                <c:pt idx="877">
                  <c:v>35</c:v>
                </c:pt>
                <c:pt idx="878">
                  <c:v>35</c:v>
                </c:pt>
                <c:pt idx="879">
                  <c:v>35</c:v>
                </c:pt>
                <c:pt idx="880">
                  <c:v>35</c:v>
                </c:pt>
                <c:pt idx="881">
                  <c:v>35</c:v>
                </c:pt>
                <c:pt idx="882">
                  <c:v>35</c:v>
                </c:pt>
                <c:pt idx="883">
                  <c:v>35</c:v>
                </c:pt>
                <c:pt idx="884">
                  <c:v>35</c:v>
                </c:pt>
                <c:pt idx="885">
                  <c:v>35</c:v>
                </c:pt>
                <c:pt idx="886">
                  <c:v>35</c:v>
                </c:pt>
                <c:pt idx="887">
                  <c:v>35</c:v>
                </c:pt>
                <c:pt idx="888">
                  <c:v>35</c:v>
                </c:pt>
                <c:pt idx="889">
                  <c:v>35</c:v>
                </c:pt>
                <c:pt idx="890">
                  <c:v>35</c:v>
                </c:pt>
                <c:pt idx="891">
                  <c:v>35</c:v>
                </c:pt>
                <c:pt idx="892">
                  <c:v>35</c:v>
                </c:pt>
                <c:pt idx="893">
                  <c:v>35</c:v>
                </c:pt>
                <c:pt idx="894">
                  <c:v>35</c:v>
                </c:pt>
                <c:pt idx="895">
                  <c:v>35</c:v>
                </c:pt>
                <c:pt idx="896">
                  <c:v>35</c:v>
                </c:pt>
                <c:pt idx="897">
                  <c:v>35</c:v>
                </c:pt>
                <c:pt idx="898">
                  <c:v>35</c:v>
                </c:pt>
                <c:pt idx="899">
                  <c:v>35</c:v>
                </c:pt>
                <c:pt idx="900">
                  <c:v>35</c:v>
                </c:pt>
                <c:pt idx="901">
                  <c:v>35</c:v>
                </c:pt>
                <c:pt idx="902">
                  <c:v>35</c:v>
                </c:pt>
                <c:pt idx="903">
                  <c:v>35</c:v>
                </c:pt>
                <c:pt idx="904">
                  <c:v>35</c:v>
                </c:pt>
                <c:pt idx="905">
                  <c:v>35</c:v>
                </c:pt>
                <c:pt idx="906">
                  <c:v>35</c:v>
                </c:pt>
                <c:pt idx="907">
                  <c:v>35</c:v>
                </c:pt>
                <c:pt idx="908">
                  <c:v>35</c:v>
                </c:pt>
                <c:pt idx="909">
                  <c:v>35</c:v>
                </c:pt>
                <c:pt idx="910">
                  <c:v>35</c:v>
                </c:pt>
                <c:pt idx="911">
                  <c:v>35</c:v>
                </c:pt>
                <c:pt idx="912">
                  <c:v>35</c:v>
                </c:pt>
                <c:pt idx="913">
                  <c:v>35</c:v>
                </c:pt>
                <c:pt idx="914">
                  <c:v>35</c:v>
                </c:pt>
                <c:pt idx="915">
                  <c:v>35</c:v>
                </c:pt>
                <c:pt idx="916">
                  <c:v>35</c:v>
                </c:pt>
                <c:pt idx="917">
                  <c:v>35</c:v>
                </c:pt>
                <c:pt idx="918">
                  <c:v>35</c:v>
                </c:pt>
                <c:pt idx="919">
                  <c:v>35</c:v>
                </c:pt>
                <c:pt idx="920">
                  <c:v>35</c:v>
                </c:pt>
                <c:pt idx="921">
                  <c:v>35</c:v>
                </c:pt>
                <c:pt idx="922">
                  <c:v>36</c:v>
                </c:pt>
                <c:pt idx="923">
                  <c:v>36</c:v>
                </c:pt>
                <c:pt idx="924">
                  <c:v>36</c:v>
                </c:pt>
                <c:pt idx="925">
                  <c:v>36</c:v>
                </c:pt>
                <c:pt idx="926">
                  <c:v>36</c:v>
                </c:pt>
                <c:pt idx="927">
                  <c:v>36</c:v>
                </c:pt>
                <c:pt idx="928">
                  <c:v>36</c:v>
                </c:pt>
                <c:pt idx="929">
                  <c:v>36</c:v>
                </c:pt>
                <c:pt idx="930">
                  <c:v>36</c:v>
                </c:pt>
                <c:pt idx="931">
                  <c:v>36</c:v>
                </c:pt>
                <c:pt idx="932">
                  <c:v>36</c:v>
                </c:pt>
                <c:pt idx="933">
                  <c:v>36</c:v>
                </c:pt>
                <c:pt idx="934">
                  <c:v>36</c:v>
                </c:pt>
                <c:pt idx="935">
                  <c:v>36</c:v>
                </c:pt>
                <c:pt idx="936">
                  <c:v>36</c:v>
                </c:pt>
                <c:pt idx="937">
                  <c:v>36</c:v>
                </c:pt>
                <c:pt idx="938">
                  <c:v>36</c:v>
                </c:pt>
                <c:pt idx="939">
                  <c:v>36</c:v>
                </c:pt>
                <c:pt idx="940">
                  <c:v>36</c:v>
                </c:pt>
                <c:pt idx="941">
                  <c:v>36</c:v>
                </c:pt>
                <c:pt idx="942">
                  <c:v>36</c:v>
                </c:pt>
                <c:pt idx="943">
                  <c:v>36</c:v>
                </c:pt>
                <c:pt idx="944">
                  <c:v>36</c:v>
                </c:pt>
                <c:pt idx="945">
                  <c:v>36</c:v>
                </c:pt>
                <c:pt idx="946">
                  <c:v>36</c:v>
                </c:pt>
                <c:pt idx="947">
                  <c:v>36</c:v>
                </c:pt>
                <c:pt idx="948">
                  <c:v>36</c:v>
                </c:pt>
                <c:pt idx="949">
                  <c:v>36</c:v>
                </c:pt>
                <c:pt idx="950">
                  <c:v>36</c:v>
                </c:pt>
                <c:pt idx="951">
                  <c:v>36</c:v>
                </c:pt>
                <c:pt idx="952">
                  <c:v>36</c:v>
                </c:pt>
                <c:pt idx="953">
                  <c:v>36</c:v>
                </c:pt>
                <c:pt idx="954">
                  <c:v>36</c:v>
                </c:pt>
                <c:pt idx="955">
                  <c:v>36</c:v>
                </c:pt>
                <c:pt idx="956">
                  <c:v>36</c:v>
                </c:pt>
                <c:pt idx="957">
                  <c:v>36</c:v>
                </c:pt>
                <c:pt idx="958">
                  <c:v>36</c:v>
                </c:pt>
                <c:pt idx="959">
                  <c:v>36</c:v>
                </c:pt>
                <c:pt idx="960">
                  <c:v>36</c:v>
                </c:pt>
                <c:pt idx="961">
                  <c:v>36</c:v>
                </c:pt>
                <c:pt idx="962">
                  <c:v>36</c:v>
                </c:pt>
                <c:pt idx="963">
                  <c:v>36</c:v>
                </c:pt>
                <c:pt idx="964">
                  <c:v>36</c:v>
                </c:pt>
                <c:pt idx="965">
                  <c:v>36</c:v>
                </c:pt>
                <c:pt idx="966">
                  <c:v>36</c:v>
                </c:pt>
                <c:pt idx="967">
                  <c:v>36</c:v>
                </c:pt>
                <c:pt idx="968">
                  <c:v>36</c:v>
                </c:pt>
                <c:pt idx="969">
                  <c:v>36</c:v>
                </c:pt>
                <c:pt idx="970">
                  <c:v>36</c:v>
                </c:pt>
                <c:pt idx="971">
                  <c:v>36</c:v>
                </c:pt>
                <c:pt idx="972">
                  <c:v>36</c:v>
                </c:pt>
                <c:pt idx="973">
                  <c:v>36</c:v>
                </c:pt>
                <c:pt idx="974">
                  <c:v>36</c:v>
                </c:pt>
                <c:pt idx="975">
                  <c:v>36</c:v>
                </c:pt>
                <c:pt idx="976">
                  <c:v>36</c:v>
                </c:pt>
                <c:pt idx="977">
                  <c:v>36</c:v>
                </c:pt>
                <c:pt idx="978">
                  <c:v>36</c:v>
                </c:pt>
                <c:pt idx="979">
                  <c:v>36</c:v>
                </c:pt>
                <c:pt idx="980">
                  <c:v>36</c:v>
                </c:pt>
                <c:pt idx="981">
                  <c:v>36</c:v>
                </c:pt>
                <c:pt idx="982">
                  <c:v>37</c:v>
                </c:pt>
                <c:pt idx="983">
                  <c:v>37</c:v>
                </c:pt>
                <c:pt idx="984">
                  <c:v>37</c:v>
                </c:pt>
                <c:pt idx="985">
                  <c:v>37</c:v>
                </c:pt>
                <c:pt idx="986">
                  <c:v>37</c:v>
                </c:pt>
                <c:pt idx="987">
                  <c:v>37</c:v>
                </c:pt>
                <c:pt idx="988">
                  <c:v>37</c:v>
                </c:pt>
                <c:pt idx="989">
                  <c:v>37</c:v>
                </c:pt>
                <c:pt idx="990">
                  <c:v>37</c:v>
                </c:pt>
                <c:pt idx="991">
                  <c:v>37</c:v>
                </c:pt>
                <c:pt idx="992">
                  <c:v>37</c:v>
                </c:pt>
                <c:pt idx="993">
                  <c:v>37</c:v>
                </c:pt>
                <c:pt idx="994">
                  <c:v>37</c:v>
                </c:pt>
                <c:pt idx="995">
                  <c:v>37</c:v>
                </c:pt>
                <c:pt idx="996">
                  <c:v>37</c:v>
                </c:pt>
                <c:pt idx="997">
                  <c:v>37</c:v>
                </c:pt>
                <c:pt idx="998">
                  <c:v>37</c:v>
                </c:pt>
                <c:pt idx="999">
                  <c:v>37</c:v>
                </c:pt>
                <c:pt idx="1000">
                  <c:v>37</c:v>
                </c:pt>
                <c:pt idx="1001">
                  <c:v>37</c:v>
                </c:pt>
                <c:pt idx="1002">
                  <c:v>37</c:v>
                </c:pt>
                <c:pt idx="1003">
                  <c:v>37</c:v>
                </c:pt>
                <c:pt idx="1004">
                  <c:v>37</c:v>
                </c:pt>
                <c:pt idx="1005">
                  <c:v>37</c:v>
                </c:pt>
                <c:pt idx="1006">
                  <c:v>37</c:v>
                </c:pt>
                <c:pt idx="1007">
                  <c:v>37</c:v>
                </c:pt>
                <c:pt idx="1008">
                  <c:v>37</c:v>
                </c:pt>
                <c:pt idx="1009">
                  <c:v>37</c:v>
                </c:pt>
                <c:pt idx="1010">
                  <c:v>37</c:v>
                </c:pt>
                <c:pt idx="1011">
                  <c:v>37</c:v>
                </c:pt>
                <c:pt idx="1012">
                  <c:v>37</c:v>
                </c:pt>
                <c:pt idx="1013">
                  <c:v>37</c:v>
                </c:pt>
                <c:pt idx="1014">
                  <c:v>37</c:v>
                </c:pt>
                <c:pt idx="1015">
                  <c:v>37</c:v>
                </c:pt>
                <c:pt idx="1016">
                  <c:v>37</c:v>
                </c:pt>
                <c:pt idx="1017">
                  <c:v>37</c:v>
                </c:pt>
                <c:pt idx="1018">
                  <c:v>37</c:v>
                </c:pt>
                <c:pt idx="1019">
                  <c:v>37</c:v>
                </c:pt>
                <c:pt idx="1020">
                  <c:v>37</c:v>
                </c:pt>
                <c:pt idx="1021">
                  <c:v>37</c:v>
                </c:pt>
                <c:pt idx="1022">
                  <c:v>37</c:v>
                </c:pt>
                <c:pt idx="1023">
                  <c:v>37</c:v>
                </c:pt>
                <c:pt idx="1024">
                  <c:v>37</c:v>
                </c:pt>
                <c:pt idx="1025">
                  <c:v>37</c:v>
                </c:pt>
                <c:pt idx="1026">
                  <c:v>38</c:v>
                </c:pt>
                <c:pt idx="1027">
                  <c:v>38</c:v>
                </c:pt>
                <c:pt idx="1028">
                  <c:v>38</c:v>
                </c:pt>
                <c:pt idx="1029">
                  <c:v>38</c:v>
                </c:pt>
                <c:pt idx="1030">
                  <c:v>38</c:v>
                </c:pt>
                <c:pt idx="1031">
                  <c:v>38</c:v>
                </c:pt>
                <c:pt idx="1032">
                  <c:v>38</c:v>
                </c:pt>
                <c:pt idx="1033">
                  <c:v>38</c:v>
                </c:pt>
                <c:pt idx="1034">
                  <c:v>38</c:v>
                </c:pt>
                <c:pt idx="1035">
                  <c:v>38</c:v>
                </c:pt>
                <c:pt idx="1036">
                  <c:v>38</c:v>
                </c:pt>
                <c:pt idx="1037">
                  <c:v>38</c:v>
                </c:pt>
                <c:pt idx="1038">
                  <c:v>38</c:v>
                </c:pt>
                <c:pt idx="1039">
                  <c:v>38</c:v>
                </c:pt>
                <c:pt idx="1040">
                  <c:v>38</c:v>
                </c:pt>
                <c:pt idx="1041">
                  <c:v>38</c:v>
                </c:pt>
                <c:pt idx="1042">
                  <c:v>38</c:v>
                </c:pt>
                <c:pt idx="1043">
                  <c:v>38</c:v>
                </c:pt>
                <c:pt idx="1044">
                  <c:v>38</c:v>
                </c:pt>
                <c:pt idx="1045">
                  <c:v>38</c:v>
                </c:pt>
                <c:pt idx="1046">
                  <c:v>38</c:v>
                </c:pt>
                <c:pt idx="1047">
                  <c:v>38</c:v>
                </c:pt>
                <c:pt idx="1048">
                  <c:v>38</c:v>
                </c:pt>
                <c:pt idx="1049">
                  <c:v>38</c:v>
                </c:pt>
                <c:pt idx="1050">
                  <c:v>38</c:v>
                </c:pt>
                <c:pt idx="1051">
                  <c:v>38</c:v>
                </c:pt>
                <c:pt idx="1052">
                  <c:v>38</c:v>
                </c:pt>
                <c:pt idx="1053">
                  <c:v>38</c:v>
                </c:pt>
                <c:pt idx="1054">
                  <c:v>38</c:v>
                </c:pt>
                <c:pt idx="1055">
                  <c:v>38</c:v>
                </c:pt>
                <c:pt idx="1056">
                  <c:v>38</c:v>
                </c:pt>
                <c:pt idx="1057">
                  <c:v>38</c:v>
                </c:pt>
                <c:pt idx="1058">
                  <c:v>38</c:v>
                </c:pt>
                <c:pt idx="1059">
                  <c:v>38</c:v>
                </c:pt>
                <c:pt idx="1060">
                  <c:v>38</c:v>
                </c:pt>
                <c:pt idx="1061">
                  <c:v>38</c:v>
                </c:pt>
                <c:pt idx="1062">
                  <c:v>38</c:v>
                </c:pt>
                <c:pt idx="1063">
                  <c:v>38</c:v>
                </c:pt>
                <c:pt idx="1064">
                  <c:v>38</c:v>
                </c:pt>
                <c:pt idx="1065">
                  <c:v>38</c:v>
                </c:pt>
                <c:pt idx="1066">
                  <c:v>38</c:v>
                </c:pt>
                <c:pt idx="1067">
                  <c:v>38</c:v>
                </c:pt>
                <c:pt idx="1068">
                  <c:v>38</c:v>
                </c:pt>
                <c:pt idx="1069">
                  <c:v>38</c:v>
                </c:pt>
                <c:pt idx="1070">
                  <c:v>38</c:v>
                </c:pt>
                <c:pt idx="1071">
                  <c:v>38</c:v>
                </c:pt>
                <c:pt idx="1072">
                  <c:v>38</c:v>
                </c:pt>
                <c:pt idx="1073">
                  <c:v>38</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40</c:v>
                </c:pt>
                <c:pt idx="1103">
                  <c:v>40</c:v>
                </c:pt>
                <c:pt idx="1104">
                  <c:v>40</c:v>
                </c:pt>
                <c:pt idx="1105">
                  <c:v>40</c:v>
                </c:pt>
                <c:pt idx="1106">
                  <c:v>40</c:v>
                </c:pt>
                <c:pt idx="1107">
                  <c:v>40</c:v>
                </c:pt>
                <c:pt idx="1108">
                  <c:v>40</c:v>
                </c:pt>
                <c:pt idx="1109">
                  <c:v>40</c:v>
                </c:pt>
                <c:pt idx="1110">
                  <c:v>40</c:v>
                </c:pt>
                <c:pt idx="1111">
                  <c:v>40</c:v>
                </c:pt>
                <c:pt idx="1112">
                  <c:v>40</c:v>
                </c:pt>
                <c:pt idx="1113">
                  <c:v>40</c:v>
                </c:pt>
                <c:pt idx="1114">
                  <c:v>40</c:v>
                </c:pt>
                <c:pt idx="1115">
                  <c:v>40</c:v>
                </c:pt>
                <c:pt idx="1116">
                  <c:v>40</c:v>
                </c:pt>
                <c:pt idx="1117">
                  <c:v>40</c:v>
                </c:pt>
                <c:pt idx="1118">
                  <c:v>40</c:v>
                </c:pt>
                <c:pt idx="1119">
                  <c:v>40</c:v>
                </c:pt>
                <c:pt idx="1120">
                  <c:v>40</c:v>
                </c:pt>
                <c:pt idx="1121">
                  <c:v>40</c:v>
                </c:pt>
                <c:pt idx="1122">
                  <c:v>40</c:v>
                </c:pt>
                <c:pt idx="1123">
                  <c:v>40</c:v>
                </c:pt>
                <c:pt idx="1124">
                  <c:v>40</c:v>
                </c:pt>
                <c:pt idx="1125">
                  <c:v>40</c:v>
                </c:pt>
                <c:pt idx="1126">
                  <c:v>40</c:v>
                </c:pt>
                <c:pt idx="1127">
                  <c:v>40</c:v>
                </c:pt>
                <c:pt idx="1128">
                  <c:v>40</c:v>
                </c:pt>
                <c:pt idx="1129">
                  <c:v>40</c:v>
                </c:pt>
                <c:pt idx="1130">
                  <c:v>40</c:v>
                </c:pt>
                <c:pt idx="1131">
                  <c:v>40</c:v>
                </c:pt>
                <c:pt idx="1132">
                  <c:v>40</c:v>
                </c:pt>
                <c:pt idx="1133">
                  <c:v>41</c:v>
                </c:pt>
                <c:pt idx="1134">
                  <c:v>41</c:v>
                </c:pt>
                <c:pt idx="1135">
                  <c:v>41</c:v>
                </c:pt>
                <c:pt idx="1136">
                  <c:v>41</c:v>
                </c:pt>
                <c:pt idx="1137">
                  <c:v>41</c:v>
                </c:pt>
                <c:pt idx="1138">
                  <c:v>41</c:v>
                </c:pt>
                <c:pt idx="1139">
                  <c:v>41</c:v>
                </c:pt>
                <c:pt idx="1140">
                  <c:v>41</c:v>
                </c:pt>
                <c:pt idx="1141">
                  <c:v>41</c:v>
                </c:pt>
                <c:pt idx="1142">
                  <c:v>41</c:v>
                </c:pt>
                <c:pt idx="1143">
                  <c:v>41</c:v>
                </c:pt>
                <c:pt idx="1144">
                  <c:v>41</c:v>
                </c:pt>
                <c:pt idx="1145">
                  <c:v>41</c:v>
                </c:pt>
                <c:pt idx="1146">
                  <c:v>41</c:v>
                </c:pt>
                <c:pt idx="1147">
                  <c:v>42</c:v>
                </c:pt>
                <c:pt idx="1148">
                  <c:v>42</c:v>
                </c:pt>
                <c:pt idx="1149">
                  <c:v>42</c:v>
                </c:pt>
                <c:pt idx="1150">
                  <c:v>42</c:v>
                </c:pt>
                <c:pt idx="1151">
                  <c:v>42</c:v>
                </c:pt>
                <c:pt idx="1152">
                  <c:v>42</c:v>
                </c:pt>
                <c:pt idx="1153">
                  <c:v>42</c:v>
                </c:pt>
                <c:pt idx="1154">
                  <c:v>42</c:v>
                </c:pt>
                <c:pt idx="1155">
                  <c:v>42</c:v>
                </c:pt>
                <c:pt idx="1156">
                  <c:v>42</c:v>
                </c:pt>
                <c:pt idx="1157">
                  <c:v>42</c:v>
                </c:pt>
                <c:pt idx="1158">
                  <c:v>42</c:v>
                </c:pt>
                <c:pt idx="1159">
                  <c:v>42</c:v>
                </c:pt>
                <c:pt idx="1160">
                  <c:v>42</c:v>
                </c:pt>
                <c:pt idx="1161">
                  <c:v>42</c:v>
                </c:pt>
                <c:pt idx="1162">
                  <c:v>42</c:v>
                </c:pt>
                <c:pt idx="1163">
                  <c:v>42</c:v>
                </c:pt>
                <c:pt idx="1164">
                  <c:v>42</c:v>
                </c:pt>
                <c:pt idx="1165">
                  <c:v>42</c:v>
                </c:pt>
                <c:pt idx="1166">
                  <c:v>43</c:v>
                </c:pt>
                <c:pt idx="1167">
                  <c:v>43</c:v>
                </c:pt>
                <c:pt idx="1168">
                  <c:v>43</c:v>
                </c:pt>
                <c:pt idx="1169">
                  <c:v>43</c:v>
                </c:pt>
                <c:pt idx="1170">
                  <c:v>43</c:v>
                </c:pt>
                <c:pt idx="1171">
                  <c:v>43</c:v>
                </c:pt>
                <c:pt idx="1172">
                  <c:v>43</c:v>
                </c:pt>
                <c:pt idx="1173">
                  <c:v>43</c:v>
                </c:pt>
                <c:pt idx="1174">
                  <c:v>43</c:v>
                </c:pt>
                <c:pt idx="1175">
                  <c:v>43</c:v>
                </c:pt>
                <c:pt idx="1176">
                  <c:v>44</c:v>
                </c:pt>
                <c:pt idx="1177">
                  <c:v>44</c:v>
                </c:pt>
                <c:pt idx="1178">
                  <c:v>44</c:v>
                </c:pt>
                <c:pt idx="1179">
                  <c:v>44</c:v>
                </c:pt>
                <c:pt idx="1180">
                  <c:v>44</c:v>
                </c:pt>
                <c:pt idx="1181">
                  <c:v>44</c:v>
                </c:pt>
                <c:pt idx="1182">
                  <c:v>44</c:v>
                </c:pt>
                <c:pt idx="1183">
                  <c:v>44</c:v>
                </c:pt>
                <c:pt idx="1184">
                  <c:v>45</c:v>
                </c:pt>
                <c:pt idx="1185">
                  <c:v>45</c:v>
                </c:pt>
                <c:pt idx="1186">
                  <c:v>45</c:v>
                </c:pt>
                <c:pt idx="1187">
                  <c:v>45</c:v>
                </c:pt>
                <c:pt idx="1188">
                  <c:v>45</c:v>
                </c:pt>
                <c:pt idx="1189">
                  <c:v>45</c:v>
                </c:pt>
                <c:pt idx="1190">
                  <c:v>45</c:v>
                </c:pt>
                <c:pt idx="1191">
                  <c:v>45</c:v>
                </c:pt>
                <c:pt idx="1192">
                  <c:v>45</c:v>
                </c:pt>
                <c:pt idx="1193">
                  <c:v>45</c:v>
                </c:pt>
                <c:pt idx="1194">
                  <c:v>45</c:v>
                </c:pt>
                <c:pt idx="1195">
                  <c:v>46</c:v>
                </c:pt>
                <c:pt idx="1196">
                  <c:v>46</c:v>
                </c:pt>
                <c:pt idx="1197">
                  <c:v>46</c:v>
                </c:pt>
                <c:pt idx="1198">
                  <c:v>46</c:v>
                </c:pt>
                <c:pt idx="1199">
                  <c:v>46</c:v>
                </c:pt>
                <c:pt idx="1200">
                  <c:v>46</c:v>
                </c:pt>
                <c:pt idx="1201">
                  <c:v>46</c:v>
                </c:pt>
                <c:pt idx="1202">
                  <c:v>46</c:v>
                </c:pt>
                <c:pt idx="1203">
                  <c:v>47</c:v>
                </c:pt>
                <c:pt idx="1204">
                  <c:v>47</c:v>
                </c:pt>
                <c:pt idx="1205">
                  <c:v>47</c:v>
                </c:pt>
                <c:pt idx="1206">
                  <c:v>48</c:v>
                </c:pt>
                <c:pt idx="1207">
                  <c:v>48</c:v>
                </c:pt>
                <c:pt idx="1208">
                  <c:v>48</c:v>
                </c:pt>
                <c:pt idx="1209">
                  <c:v>48</c:v>
                </c:pt>
                <c:pt idx="1210">
                  <c:v>49</c:v>
                </c:pt>
                <c:pt idx="1211">
                  <c:v>49</c:v>
                </c:pt>
                <c:pt idx="1212">
                  <c:v>50</c:v>
                </c:pt>
                <c:pt idx="1213">
                  <c:v>51</c:v>
                </c:pt>
                <c:pt idx="1214">
                  <c:v>52</c:v>
                </c:pt>
                <c:pt idx="1215">
                  <c:v>53</c:v>
                </c:pt>
                <c:pt idx="1216">
                  <c:v>54</c:v>
                </c:pt>
                <c:pt idx="1217">
                  <c:v>54</c:v>
                </c:pt>
                <c:pt idx="1218">
                  <c:v>56</c:v>
                </c:pt>
                <c:pt idx="1219">
                  <c:v>56</c:v>
                </c:pt>
                <c:pt idx="1220">
                  <c:v>59</c:v>
                </c:pt>
                <c:pt idx="1221">
                  <c:v>65</c:v>
                </c:pt>
                <c:pt idx="1222">
                  <c:v>66</c:v>
                </c:pt>
                <c:pt idx="1223">
                  <c:v>69</c:v>
                </c:pt>
              </c:numCache>
            </c:numRef>
          </c:xVal>
          <c:yVal>
            <c:numRef>
              <c:f>'Age x Yearly bruto salary'!$K$2:$K$1225</c:f>
              <c:numCache>
                <c:formatCode>General</c:formatCode>
                <c:ptCount val="1224"/>
                <c:pt idx="0">
                  <c:v>240000</c:v>
                </c:pt>
                <c:pt idx="1">
                  <c:v>50000</c:v>
                </c:pt>
                <c:pt idx="2">
                  <c:v>10001</c:v>
                </c:pt>
                <c:pt idx="3">
                  <c:v>24000</c:v>
                </c:pt>
                <c:pt idx="4">
                  <c:v>27000</c:v>
                </c:pt>
                <c:pt idx="5">
                  <c:v>35000</c:v>
                </c:pt>
                <c:pt idx="6">
                  <c:v>39000</c:v>
                </c:pt>
                <c:pt idx="7">
                  <c:v>45000</c:v>
                </c:pt>
                <c:pt idx="8">
                  <c:v>63000</c:v>
                </c:pt>
                <c:pt idx="9">
                  <c:v>159000</c:v>
                </c:pt>
                <c:pt idx="10">
                  <c:v>34000</c:v>
                </c:pt>
                <c:pt idx="11">
                  <c:v>36000</c:v>
                </c:pt>
                <c:pt idx="12">
                  <c:v>45000</c:v>
                </c:pt>
                <c:pt idx="13">
                  <c:v>45600</c:v>
                </c:pt>
                <c:pt idx="14">
                  <c:v>49000</c:v>
                </c:pt>
                <c:pt idx="15">
                  <c:v>49200</c:v>
                </c:pt>
                <c:pt idx="16">
                  <c:v>53000</c:v>
                </c:pt>
                <c:pt idx="17">
                  <c:v>54179.13</c:v>
                </c:pt>
                <c:pt idx="18">
                  <c:v>60000</c:v>
                </c:pt>
                <c:pt idx="19">
                  <c:v>65000</c:v>
                </c:pt>
                <c:pt idx="20">
                  <c:v>70500</c:v>
                </c:pt>
                <c:pt idx="21">
                  <c:v>80000</c:v>
                </c:pt>
                <c:pt idx="22">
                  <c:v>10164</c:v>
                </c:pt>
                <c:pt idx="23">
                  <c:v>11500</c:v>
                </c:pt>
                <c:pt idx="24">
                  <c:v>14400</c:v>
                </c:pt>
                <c:pt idx="25">
                  <c:v>16320</c:v>
                </c:pt>
                <c:pt idx="26">
                  <c:v>29000</c:v>
                </c:pt>
                <c:pt idx="27">
                  <c:v>30000</c:v>
                </c:pt>
                <c:pt idx="28">
                  <c:v>44000</c:v>
                </c:pt>
                <c:pt idx="29">
                  <c:v>46000</c:v>
                </c:pt>
                <c:pt idx="30">
                  <c:v>48000</c:v>
                </c:pt>
                <c:pt idx="31">
                  <c:v>48000</c:v>
                </c:pt>
                <c:pt idx="32">
                  <c:v>48000</c:v>
                </c:pt>
                <c:pt idx="33">
                  <c:v>50000</c:v>
                </c:pt>
                <c:pt idx="34">
                  <c:v>55200</c:v>
                </c:pt>
                <c:pt idx="35">
                  <c:v>57600</c:v>
                </c:pt>
                <c:pt idx="36">
                  <c:v>58000</c:v>
                </c:pt>
                <c:pt idx="37">
                  <c:v>58000</c:v>
                </c:pt>
                <c:pt idx="38">
                  <c:v>60000</c:v>
                </c:pt>
                <c:pt idx="39">
                  <c:v>64000</c:v>
                </c:pt>
                <c:pt idx="40">
                  <c:v>65000</c:v>
                </c:pt>
                <c:pt idx="41">
                  <c:v>68250</c:v>
                </c:pt>
                <c:pt idx="42">
                  <c:v>70000</c:v>
                </c:pt>
                <c:pt idx="43">
                  <c:v>73000</c:v>
                </c:pt>
                <c:pt idx="44">
                  <c:v>75000</c:v>
                </c:pt>
                <c:pt idx="45">
                  <c:v>77000</c:v>
                </c:pt>
                <c:pt idx="46">
                  <c:v>77600</c:v>
                </c:pt>
                <c:pt idx="47">
                  <c:v>79000</c:v>
                </c:pt>
                <c:pt idx="48">
                  <c:v>90000</c:v>
                </c:pt>
                <c:pt idx="49">
                  <c:v>300000</c:v>
                </c:pt>
                <c:pt idx="50">
                  <c:v>12000</c:v>
                </c:pt>
                <c:pt idx="51">
                  <c:v>23000</c:v>
                </c:pt>
                <c:pt idx="52">
                  <c:v>38000</c:v>
                </c:pt>
                <c:pt idx="53">
                  <c:v>42000</c:v>
                </c:pt>
                <c:pt idx="54">
                  <c:v>43500</c:v>
                </c:pt>
                <c:pt idx="55">
                  <c:v>44000</c:v>
                </c:pt>
                <c:pt idx="56">
                  <c:v>45000</c:v>
                </c:pt>
                <c:pt idx="57">
                  <c:v>45000</c:v>
                </c:pt>
                <c:pt idx="58">
                  <c:v>48000</c:v>
                </c:pt>
                <c:pt idx="59">
                  <c:v>49850</c:v>
                </c:pt>
                <c:pt idx="60">
                  <c:v>51000</c:v>
                </c:pt>
                <c:pt idx="61">
                  <c:v>51000</c:v>
                </c:pt>
                <c:pt idx="62">
                  <c:v>53000</c:v>
                </c:pt>
                <c:pt idx="63">
                  <c:v>53500</c:v>
                </c:pt>
                <c:pt idx="64">
                  <c:v>57000</c:v>
                </c:pt>
                <c:pt idx="65">
                  <c:v>57000</c:v>
                </c:pt>
                <c:pt idx="66">
                  <c:v>58000</c:v>
                </c:pt>
                <c:pt idx="67">
                  <c:v>60000</c:v>
                </c:pt>
                <c:pt idx="68">
                  <c:v>60000</c:v>
                </c:pt>
                <c:pt idx="69">
                  <c:v>60000</c:v>
                </c:pt>
                <c:pt idx="70">
                  <c:v>60000</c:v>
                </c:pt>
                <c:pt idx="71">
                  <c:v>60000</c:v>
                </c:pt>
                <c:pt idx="72">
                  <c:v>60000</c:v>
                </c:pt>
                <c:pt idx="73">
                  <c:v>61500</c:v>
                </c:pt>
                <c:pt idx="74">
                  <c:v>62000</c:v>
                </c:pt>
                <c:pt idx="75">
                  <c:v>62000</c:v>
                </c:pt>
                <c:pt idx="76">
                  <c:v>63700</c:v>
                </c:pt>
                <c:pt idx="77">
                  <c:v>65000</c:v>
                </c:pt>
                <c:pt idx="78">
                  <c:v>65000</c:v>
                </c:pt>
                <c:pt idx="79">
                  <c:v>65000</c:v>
                </c:pt>
                <c:pt idx="80">
                  <c:v>65000</c:v>
                </c:pt>
                <c:pt idx="81">
                  <c:v>65000</c:v>
                </c:pt>
                <c:pt idx="82">
                  <c:v>65000</c:v>
                </c:pt>
                <c:pt idx="83">
                  <c:v>65000</c:v>
                </c:pt>
                <c:pt idx="84">
                  <c:v>70000</c:v>
                </c:pt>
                <c:pt idx="85">
                  <c:v>71750</c:v>
                </c:pt>
                <c:pt idx="86">
                  <c:v>75000</c:v>
                </c:pt>
                <c:pt idx="87">
                  <c:v>75000</c:v>
                </c:pt>
                <c:pt idx="88">
                  <c:v>80000</c:v>
                </c:pt>
                <c:pt idx="89">
                  <c:v>85000</c:v>
                </c:pt>
                <c:pt idx="90">
                  <c:v>86000</c:v>
                </c:pt>
                <c:pt idx="91">
                  <c:v>100000</c:v>
                </c:pt>
                <c:pt idx="92">
                  <c:v>20000</c:v>
                </c:pt>
                <c:pt idx="93">
                  <c:v>20000</c:v>
                </c:pt>
                <c:pt idx="94">
                  <c:v>21000</c:v>
                </c:pt>
                <c:pt idx="95">
                  <c:v>24000</c:v>
                </c:pt>
                <c:pt idx="96">
                  <c:v>25000</c:v>
                </c:pt>
                <c:pt idx="97">
                  <c:v>32000</c:v>
                </c:pt>
                <c:pt idx="98">
                  <c:v>33000</c:v>
                </c:pt>
                <c:pt idx="99">
                  <c:v>37000</c:v>
                </c:pt>
                <c:pt idx="100">
                  <c:v>38350</c:v>
                </c:pt>
                <c:pt idx="101">
                  <c:v>40000</c:v>
                </c:pt>
                <c:pt idx="102">
                  <c:v>40000</c:v>
                </c:pt>
                <c:pt idx="103">
                  <c:v>45000</c:v>
                </c:pt>
                <c:pt idx="104">
                  <c:v>47000</c:v>
                </c:pt>
                <c:pt idx="105">
                  <c:v>48000</c:v>
                </c:pt>
                <c:pt idx="106">
                  <c:v>48000</c:v>
                </c:pt>
                <c:pt idx="107">
                  <c:v>48000</c:v>
                </c:pt>
                <c:pt idx="108">
                  <c:v>48000</c:v>
                </c:pt>
                <c:pt idx="109">
                  <c:v>51000</c:v>
                </c:pt>
                <c:pt idx="110">
                  <c:v>54000</c:v>
                </c:pt>
                <c:pt idx="111">
                  <c:v>55000</c:v>
                </c:pt>
                <c:pt idx="112">
                  <c:v>55000</c:v>
                </c:pt>
                <c:pt idx="113">
                  <c:v>55000</c:v>
                </c:pt>
                <c:pt idx="114">
                  <c:v>55500</c:v>
                </c:pt>
                <c:pt idx="115">
                  <c:v>58000</c:v>
                </c:pt>
                <c:pt idx="116">
                  <c:v>58000</c:v>
                </c:pt>
                <c:pt idx="117">
                  <c:v>59000</c:v>
                </c:pt>
                <c:pt idx="118">
                  <c:v>60000</c:v>
                </c:pt>
                <c:pt idx="119">
                  <c:v>60000</c:v>
                </c:pt>
                <c:pt idx="120">
                  <c:v>60000</c:v>
                </c:pt>
                <c:pt idx="121">
                  <c:v>60000</c:v>
                </c:pt>
                <c:pt idx="122">
                  <c:v>60000</c:v>
                </c:pt>
                <c:pt idx="123">
                  <c:v>60000</c:v>
                </c:pt>
                <c:pt idx="124">
                  <c:v>63000</c:v>
                </c:pt>
                <c:pt idx="125">
                  <c:v>64000</c:v>
                </c:pt>
                <c:pt idx="126">
                  <c:v>65000</c:v>
                </c:pt>
                <c:pt idx="127">
                  <c:v>65000</c:v>
                </c:pt>
                <c:pt idx="128">
                  <c:v>65000</c:v>
                </c:pt>
                <c:pt idx="129">
                  <c:v>65000</c:v>
                </c:pt>
                <c:pt idx="130">
                  <c:v>65000</c:v>
                </c:pt>
                <c:pt idx="131">
                  <c:v>65000</c:v>
                </c:pt>
                <c:pt idx="132">
                  <c:v>65000</c:v>
                </c:pt>
                <c:pt idx="133">
                  <c:v>65000</c:v>
                </c:pt>
                <c:pt idx="134">
                  <c:v>69000</c:v>
                </c:pt>
                <c:pt idx="135">
                  <c:v>70000</c:v>
                </c:pt>
                <c:pt idx="136">
                  <c:v>70000</c:v>
                </c:pt>
                <c:pt idx="137">
                  <c:v>70000</c:v>
                </c:pt>
                <c:pt idx="138">
                  <c:v>71000</c:v>
                </c:pt>
                <c:pt idx="139">
                  <c:v>72000</c:v>
                </c:pt>
                <c:pt idx="140">
                  <c:v>72000</c:v>
                </c:pt>
                <c:pt idx="141">
                  <c:v>72000</c:v>
                </c:pt>
                <c:pt idx="142">
                  <c:v>75000</c:v>
                </c:pt>
                <c:pt idx="143">
                  <c:v>78000</c:v>
                </c:pt>
                <c:pt idx="144">
                  <c:v>80000</c:v>
                </c:pt>
                <c:pt idx="145">
                  <c:v>80000</c:v>
                </c:pt>
                <c:pt idx="146">
                  <c:v>85000</c:v>
                </c:pt>
                <c:pt idx="147">
                  <c:v>93000</c:v>
                </c:pt>
                <c:pt idx="148">
                  <c:v>105000</c:v>
                </c:pt>
                <c:pt idx="149">
                  <c:v>120000</c:v>
                </c:pt>
                <c:pt idx="150">
                  <c:v>180000</c:v>
                </c:pt>
                <c:pt idx="151">
                  <c:v>10001</c:v>
                </c:pt>
                <c:pt idx="152">
                  <c:v>11000</c:v>
                </c:pt>
                <c:pt idx="153">
                  <c:v>17500</c:v>
                </c:pt>
                <c:pt idx="154">
                  <c:v>21120</c:v>
                </c:pt>
                <c:pt idx="155">
                  <c:v>25300</c:v>
                </c:pt>
                <c:pt idx="156">
                  <c:v>35000</c:v>
                </c:pt>
                <c:pt idx="157">
                  <c:v>40000</c:v>
                </c:pt>
                <c:pt idx="158">
                  <c:v>42000</c:v>
                </c:pt>
                <c:pt idx="159">
                  <c:v>45000</c:v>
                </c:pt>
                <c:pt idx="160">
                  <c:v>45000</c:v>
                </c:pt>
                <c:pt idx="161">
                  <c:v>46000</c:v>
                </c:pt>
                <c:pt idx="162">
                  <c:v>48000</c:v>
                </c:pt>
                <c:pt idx="163">
                  <c:v>49000</c:v>
                </c:pt>
                <c:pt idx="164">
                  <c:v>50000</c:v>
                </c:pt>
                <c:pt idx="165">
                  <c:v>50000</c:v>
                </c:pt>
                <c:pt idx="166">
                  <c:v>50000</c:v>
                </c:pt>
                <c:pt idx="167">
                  <c:v>50000</c:v>
                </c:pt>
                <c:pt idx="168">
                  <c:v>52000</c:v>
                </c:pt>
                <c:pt idx="169">
                  <c:v>52000</c:v>
                </c:pt>
                <c:pt idx="170">
                  <c:v>55000</c:v>
                </c:pt>
                <c:pt idx="171">
                  <c:v>55000</c:v>
                </c:pt>
                <c:pt idx="172">
                  <c:v>56700</c:v>
                </c:pt>
                <c:pt idx="173">
                  <c:v>57000</c:v>
                </c:pt>
                <c:pt idx="174">
                  <c:v>58000</c:v>
                </c:pt>
                <c:pt idx="175">
                  <c:v>58000</c:v>
                </c:pt>
                <c:pt idx="176">
                  <c:v>58000</c:v>
                </c:pt>
                <c:pt idx="177">
                  <c:v>60000</c:v>
                </c:pt>
                <c:pt idx="178">
                  <c:v>60000</c:v>
                </c:pt>
                <c:pt idx="179">
                  <c:v>60000</c:v>
                </c:pt>
                <c:pt idx="180">
                  <c:v>60000</c:v>
                </c:pt>
                <c:pt idx="181">
                  <c:v>62000</c:v>
                </c:pt>
                <c:pt idx="182">
                  <c:v>63000</c:v>
                </c:pt>
                <c:pt idx="183">
                  <c:v>63000</c:v>
                </c:pt>
                <c:pt idx="184">
                  <c:v>63000</c:v>
                </c:pt>
                <c:pt idx="185">
                  <c:v>64000</c:v>
                </c:pt>
                <c:pt idx="186">
                  <c:v>65000</c:v>
                </c:pt>
                <c:pt idx="187">
                  <c:v>65000</c:v>
                </c:pt>
                <c:pt idx="188">
                  <c:v>65000</c:v>
                </c:pt>
                <c:pt idx="189">
                  <c:v>65000</c:v>
                </c:pt>
                <c:pt idx="190">
                  <c:v>65000</c:v>
                </c:pt>
                <c:pt idx="191">
                  <c:v>65000</c:v>
                </c:pt>
                <c:pt idx="192">
                  <c:v>66000</c:v>
                </c:pt>
                <c:pt idx="193">
                  <c:v>68000</c:v>
                </c:pt>
                <c:pt idx="194">
                  <c:v>70000</c:v>
                </c:pt>
                <c:pt idx="195">
                  <c:v>70000</c:v>
                </c:pt>
                <c:pt idx="196">
                  <c:v>70000</c:v>
                </c:pt>
                <c:pt idx="197">
                  <c:v>71000</c:v>
                </c:pt>
                <c:pt idx="198">
                  <c:v>72000</c:v>
                </c:pt>
                <c:pt idx="199">
                  <c:v>73000</c:v>
                </c:pt>
                <c:pt idx="200">
                  <c:v>74000</c:v>
                </c:pt>
                <c:pt idx="201">
                  <c:v>75000</c:v>
                </c:pt>
                <c:pt idx="202">
                  <c:v>78000</c:v>
                </c:pt>
                <c:pt idx="203">
                  <c:v>80000</c:v>
                </c:pt>
                <c:pt idx="204">
                  <c:v>82000</c:v>
                </c:pt>
                <c:pt idx="205">
                  <c:v>82000</c:v>
                </c:pt>
                <c:pt idx="206">
                  <c:v>85600</c:v>
                </c:pt>
                <c:pt idx="207">
                  <c:v>90000</c:v>
                </c:pt>
                <c:pt idx="208">
                  <c:v>90000</c:v>
                </c:pt>
                <c:pt idx="209">
                  <c:v>25000</c:v>
                </c:pt>
                <c:pt idx="210">
                  <c:v>28000</c:v>
                </c:pt>
                <c:pt idx="211">
                  <c:v>30000</c:v>
                </c:pt>
                <c:pt idx="212">
                  <c:v>36000</c:v>
                </c:pt>
                <c:pt idx="213">
                  <c:v>42000</c:v>
                </c:pt>
                <c:pt idx="214">
                  <c:v>43000</c:v>
                </c:pt>
                <c:pt idx="215">
                  <c:v>44000</c:v>
                </c:pt>
                <c:pt idx="216">
                  <c:v>45000</c:v>
                </c:pt>
                <c:pt idx="217">
                  <c:v>45000</c:v>
                </c:pt>
                <c:pt idx="218">
                  <c:v>45000</c:v>
                </c:pt>
                <c:pt idx="219">
                  <c:v>45000</c:v>
                </c:pt>
                <c:pt idx="220">
                  <c:v>47000</c:v>
                </c:pt>
                <c:pt idx="221">
                  <c:v>48000</c:v>
                </c:pt>
                <c:pt idx="222">
                  <c:v>48000</c:v>
                </c:pt>
                <c:pt idx="223">
                  <c:v>50000</c:v>
                </c:pt>
                <c:pt idx="224">
                  <c:v>50000</c:v>
                </c:pt>
                <c:pt idx="225">
                  <c:v>50000</c:v>
                </c:pt>
                <c:pt idx="226">
                  <c:v>51000</c:v>
                </c:pt>
                <c:pt idx="227">
                  <c:v>52800</c:v>
                </c:pt>
                <c:pt idx="228">
                  <c:v>53000</c:v>
                </c:pt>
                <c:pt idx="229">
                  <c:v>53000</c:v>
                </c:pt>
                <c:pt idx="230">
                  <c:v>54000</c:v>
                </c:pt>
                <c:pt idx="231">
                  <c:v>54000</c:v>
                </c:pt>
                <c:pt idx="232">
                  <c:v>54500</c:v>
                </c:pt>
                <c:pt idx="233">
                  <c:v>55000</c:v>
                </c:pt>
                <c:pt idx="234">
                  <c:v>55000</c:v>
                </c:pt>
                <c:pt idx="235">
                  <c:v>55000</c:v>
                </c:pt>
                <c:pt idx="236">
                  <c:v>55000</c:v>
                </c:pt>
                <c:pt idx="237">
                  <c:v>56000</c:v>
                </c:pt>
                <c:pt idx="238">
                  <c:v>57000</c:v>
                </c:pt>
                <c:pt idx="239">
                  <c:v>57000</c:v>
                </c:pt>
                <c:pt idx="240">
                  <c:v>57000</c:v>
                </c:pt>
                <c:pt idx="241">
                  <c:v>57000</c:v>
                </c:pt>
                <c:pt idx="242">
                  <c:v>60000</c:v>
                </c:pt>
                <c:pt idx="243">
                  <c:v>60000</c:v>
                </c:pt>
                <c:pt idx="244">
                  <c:v>60000</c:v>
                </c:pt>
                <c:pt idx="245">
                  <c:v>60000</c:v>
                </c:pt>
                <c:pt idx="246">
                  <c:v>60000</c:v>
                </c:pt>
                <c:pt idx="247">
                  <c:v>60000</c:v>
                </c:pt>
                <c:pt idx="248">
                  <c:v>60000</c:v>
                </c:pt>
                <c:pt idx="249">
                  <c:v>60000</c:v>
                </c:pt>
                <c:pt idx="250">
                  <c:v>60000</c:v>
                </c:pt>
                <c:pt idx="251">
                  <c:v>61200</c:v>
                </c:pt>
                <c:pt idx="252">
                  <c:v>62000</c:v>
                </c:pt>
                <c:pt idx="253">
                  <c:v>63000</c:v>
                </c:pt>
                <c:pt idx="254">
                  <c:v>64000</c:v>
                </c:pt>
                <c:pt idx="255">
                  <c:v>64000</c:v>
                </c:pt>
                <c:pt idx="256">
                  <c:v>65000</c:v>
                </c:pt>
                <c:pt idx="257">
                  <c:v>65000</c:v>
                </c:pt>
                <c:pt idx="258">
                  <c:v>65000</c:v>
                </c:pt>
                <c:pt idx="259">
                  <c:v>65000</c:v>
                </c:pt>
                <c:pt idx="260">
                  <c:v>65000</c:v>
                </c:pt>
                <c:pt idx="261">
                  <c:v>65000</c:v>
                </c:pt>
                <c:pt idx="262">
                  <c:v>65000</c:v>
                </c:pt>
                <c:pt idx="263">
                  <c:v>66000</c:v>
                </c:pt>
                <c:pt idx="264">
                  <c:v>66000</c:v>
                </c:pt>
                <c:pt idx="265">
                  <c:v>66000</c:v>
                </c:pt>
                <c:pt idx="266">
                  <c:v>67000</c:v>
                </c:pt>
                <c:pt idx="267">
                  <c:v>67000</c:v>
                </c:pt>
                <c:pt idx="268">
                  <c:v>67200</c:v>
                </c:pt>
                <c:pt idx="269">
                  <c:v>68000</c:v>
                </c:pt>
                <c:pt idx="270">
                  <c:v>70000</c:v>
                </c:pt>
                <c:pt idx="271">
                  <c:v>70000</c:v>
                </c:pt>
                <c:pt idx="272">
                  <c:v>70000</c:v>
                </c:pt>
                <c:pt idx="273">
                  <c:v>70000</c:v>
                </c:pt>
                <c:pt idx="274">
                  <c:v>70800</c:v>
                </c:pt>
                <c:pt idx="275">
                  <c:v>72000</c:v>
                </c:pt>
                <c:pt idx="276">
                  <c:v>72000</c:v>
                </c:pt>
                <c:pt idx="277">
                  <c:v>73700</c:v>
                </c:pt>
                <c:pt idx="278">
                  <c:v>75000</c:v>
                </c:pt>
                <c:pt idx="279">
                  <c:v>75000</c:v>
                </c:pt>
                <c:pt idx="280">
                  <c:v>75000</c:v>
                </c:pt>
                <c:pt idx="281">
                  <c:v>75000</c:v>
                </c:pt>
                <c:pt idx="282">
                  <c:v>75000</c:v>
                </c:pt>
                <c:pt idx="283">
                  <c:v>75000</c:v>
                </c:pt>
                <c:pt idx="284">
                  <c:v>78000</c:v>
                </c:pt>
                <c:pt idx="285">
                  <c:v>78000</c:v>
                </c:pt>
                <c:pt idx="286">
                  <c:v>80000</c:v>
                </c:pt>
                <c:pt idx="287">
                  <c:v>80000</c:v>
                </c:pt>
                <c:pt idx="288">
                  <c:v>80000</c:v>
                </c:pt>
                <c:pt idx="289">
                  <c:v>80000</c:v>
                </c:pt>
                <c:pt idx="290">
                  <c:v>83000</c:v>
                </c:pt>
                <c:pt idx="291">
                  <c:v>85000</c:v>
                </c:pt>
                <c:pt idx="292">
                  <c:v>86000</c:v>
                </c:pt>
                <c:pt idx="293">
                  <c:v>90000</c:v>
                </c:pt>
                <c:pt idx="294">
                  <c:v>95000</c:v>
                </c:pt>
                <c:pt idx="295">
                  <c:v>100000</c:v>
                </c:pt>
                <c:pt idx="296">
                  <c:v>18700</c:v>
                </c:pt>
                <c:pt idx="297">
                  <c:v>20000</c:v>
                </c:pt>
                <c:pt idx="298">
                  <c:v>22000</c:v>
                </c:pt>
                <c:pt idx="299">
                  <c:v>32000</c:v>
                </c:pt>
                <c:pt idx="300">
                  <c:v>37500</c:v>
                </c:pt>
                <c:pt idx="301">
                  <c:v>43000</c:v>
                </c:pt>
                <c:pt idx="302">
                  <c:v>45000</c:v>
                </c:pt>
                <c:pt idx="303">
                  <c:v>45000</c:v>
                </c:pt>
                <c:pt idx="304">
                  <c:v>48000</c:v>
                </c:pt>
                <c:pt idx="305">
                  <c:v>51000</c:v>
                </c:pt>
                <c:pt idx="306">
                  <c:v>52000</c:v>
                </c:pt>
                <c:pt idx="307">
                  <c:v>53000</c:v>
                </c:pt>
                <c:pt idx="308">
                  <c:v>54000</c:v>
                </c:pt>
                <c:pt idx="309">
                  <c:v>54000</c:v>
                </c:pt>
                <c:pt idx="310">
                  <c:v>55000</c:v>
                </c:pt>
                <c:pt idx="311">
                  <c:v>55000</c:v>
                </c:pt>
                <c:pt idx="312">
                  <c:v>55000</c:v>
                </c:pt>
                <c:pt idx="313">
                  <c:v>55000</c:v>
                </c:pt>
                <c:pt idx="314">
                  <c:v>55200</c:v>
                </c:pt>
                <c:pt idx="315">
                  <c:v>56000</c:v>
                </c:pt>
                <c:pt idx="316">
                  <c:v>56000</c:v>
                </c:pt>
                <c:pt idx="317">
                  <c:v>56000</c:v>
                </c:pt>
                <c:pt idx="318">
                  <c:v>57000</c:v>
                </c:pt>
                <c:pt idx="319">
                  <c:v>57000</c:v>
                </c:pt>
                <c:pt idx="320">
                  <c:v>57750</c:v>
                </c:pt>
                <c:pt idx="321">
                  <c:v>60000</c:v>
                </c:pt>
                <c:pt idx="322">
                  <c:v>60000</c:v>
                </c:pt>
                <c:pt idx="323">
                  <c:v>60000</c:v>
                </c:pt>
                <c:pt idx="324">
                  <c:v>60350</c:v>
                </c:pt>
                <c:pt idx="325">
                  <c:v>61500</c:v>
                </c:pt>
                <c:pt idx="326">
                  <c:v>62000</c:v>
                </c:pt>
                <c:pt idx="327">
                  <c:v>64000</c:v>
                </c:pt>
                <c:pt idx="328">
                  <c:v>64000</c:v>
                </c:pt>
                <c:pt idx="329">
                  <c:v>64800</c:v>
                </c:pt>
                <c:pt idx="330">
                  <c:v>65000</c:v>
                </c:pt>
                <c:pt idx="331">
                  <c:v>65000</c:v>
                </c:pt>
                <c:pt idx="332">
                  <c:v>65000</c:v>
                </c:pt>
                <c:pt idx="333">
                  <c:v>65000</c:v>
                </c:pt>
                <c:pt idx="334">
                  <c:v>65000</c:v>
                </c:pt>
                <c:pt idx="335">
                  <c:v>65000</c:v>
                </c:pt>
                <c:pt idx="336">
                  <c:v>65400</c:v>
                </c:pt>
                <c:pt idx="337">
                  <c:v>66000</c:v>
                </c:pt>
                <c:pt idx="338">
                  <c:v>66000</c:v>
                </c:pt>
                <c:pt idx="339">
                  <c:v>67000</c:v>
                </c:pt>
                <c:pt idx="340">
                  <c:v>68000</c:v>
                </c:pt>
                <c:pt idx="341">
                  <c:v>68000</c:v>
                </c:pt>
                <c:pt idx="342">
                  <c:v>69000</c:v>
                </c:pt>
                <c:pt idx="343">
                  <c:v>70000</c:v>
                </c:pt>
                <c:pt idx="344">
                  <c:v>70000</c:v>
                </c:pt>
                <c:pt idx="345">
                  <c:v>70000</c:v>
                </c:pt>
                <c:pt idx="346">
                  <c:v>70000</c:v>
                </c:pt>
                <c:pt idx="347">
                  <c:v>70000</c:v>
                </c:pt>
                <c:pt idx="348">
                  <c:v>70000</c:v>
                </c:pt>
                <c:pt idx="349">
                  <c:v>72000</c:v>
                </c:pt>
                <c:pt idx="350">
                  <c:v>72000</c:v>
                </c:pt>
                <c:pt idx="351">
                  <c:v>72000</c:v>
                </c:pt>
                <c:pt idx="352">
                  <c:v>73000</c:v>
                </c:pt>
                <c:pt idx="353">
                  <c:v>73000</c:v>
                </c:pt>
                <c:pt idx="354">
                  <c:v>74000</c:v>
                </c:pt>
                <c:pt idx="355">
                  <c:v>75000</c:v>
                </c:pt>
                <c:pt idx="356">
                  <c:v>75000</c:v>
                </c:pt>
                <c:pt idx="357">
                  <c:v>75000</c:v>
                </c:pt>
                <c:pt idx="358">
                  <c:v>75000</c:v>
                </c:pt>
                <c:pt idx="359">
                  <c:v>75000</c:v>
                </c:pt>
                <c:pt idx="360">
                  <c:v>75000</c:v>
                </c:pt>
                <c:pt idx="361">
                  <c:v>77250</c:v>
                </c:pt>
                <c:pt idx="362">
                  <c:v>78000</c:v>
                </c:pt>
                <c:pt idx="363">
                  <c:v>78000</c:v>
                </c:pt>
                <c:pt idx="364">
                  <c:v>78000</c:v>
                </c:pt>
                <c:pt idx="365">
                  <c:v>80000</c:v>
                </c:pt>
                <c:pt idx="366">
                  <c:v>80000</c:v>
                </c:pt>
                <c:pt idx="367">
                  <c:v>80000</c:v>
                </c:pt>
                <c:pt idx="368">
                  <c:v>81000</c:v>
                </c:pt>
                <c:pt idx="369">
                  <c:v>82000</c:v>
                </c:pt>
                <c:pt idx="370">
                  <c:v>82500</c:v>
                </c:pt>
                <c:pt idx="371">
                  <c:v>85000</c:v>
                </c:pt>
                <c:pt idx="372">
                  <c:v>85000</c:v>
                </c:pt>
                <c:pt idx="373">
                  <c:v>85000</c:v>
                </c:pt>
                <c:pt idx="374">
                  <c:v>85000</c:v>
                </c:pt>
                <c:pt idx="375">
                  <c:v>92000</c:v>
                </c:pt>
                <c:pt idx="376">
                  <c:v>95000</c:v>
                </c:pt>
                <c:pt idx="377">
                  <c:v>113000</c:v>
                </c:pt>
                <c:pt idx="378">
                  <c:v>115000</c:v>
                </c:pt>
                <c:pt idx="379">
                  <c:v>120000</c:v>
                </c:pt>
                <c:pt idx="380">
                  <c:v>140000</c:v>
                </c:pt>
                <c:pt idx="381">
                  <c:v>12000</c:v>
                </c:pt>
                <c:pt idx="382">
                  <c:v>13000</c:v>
                </c:pt>
                <c:pt idx="383">
                  <c:v>14712</c:v>
                </c:pt>
                <c:pt idx="384">
                  <c:v>27000</c:v>
                </c:pt>
                <c:pt idx="385">
                  <c:v>30000</c:v>
                </c:pt>
                <c:pt idx="386">
                  <c:v>30000</c:v>
                </c:pt>
                <c:pt idx="387">
                  <c:v>40000</c:v>
                </c:pt>
                <c:pt idx="388">
                  <c:v>42000</c:v>
                </c:pt>
                <c:pt idx="389">
                  <c:v>45000</c:v>
                </c:pt>
                <c:pt idx="390">
                  <c:v>45000</c:v>
                </c:pt>
                <c:pt idx="391">
                  <c:v>48000</c:v>
                </c:pt>
                <c:pt idx="392">
                  <c:v>48000</c:v>
                </c:pt>
                <c:pt idx="393">
                  <c:v>49000</c:v>
                </c:pt>
                <c:pt idx="394">
                  <c:v>50000</c:v>
                </c:pt>
                <c:pt idx="395">
                  <c:v>50000</c:v>
                </c:pt>
                <c:pt idx="396">
                  <c:v>50000</c:v>
                </c:pt>
                <c:pt idx="397">
                  <c:v>51000</c:v>
                </c:pt>
                <c:pt idx="398">
                  <c:v>51000</c:v>
                </c:pt>
                <c:pt idx="399">
                  <c:v>52000</c:v>
                </c:pt>
                <c:pt idx="400">
                  <c:v>52000</c:v>
                </c:pt>
                <c:pt idx="401">
                  <c:v>52500</c:v>
                </c:pt>
                <c:pt idx="402">
                  <c:v>54000</c:v>
                </c:pt>
                <c:pt idx="403">
                  <c:v>54000</c:v>
                </c:pt>
                <c:pt idx="404">
                  <c:v>55000</c:v>
                </c:pt>
                <c:pt idx="405">
                  <c:v>55000</c:v>
                </c:pt>
                <c:pt idx="406">
                  <c:v>55000</c:v>
                </c:pt>
                <c:pt idx="407">
                  <c:v>55000</c:v>
                </c:pt>
                <c:pt idx="408">
                  <c:v>55000</c:v>
                </c:pt>
                <c:pt idx="409">
                  <c:v>55000</c:v>
                </c:pt>
                <c:pt idx="410">
                  <c:v>56000</c:v>
                </c:pt>
                <c:pt idx="411">
                  <c:v>56000</c:v>
                </c:pt>
                <c:pt idx="412">
                  <c:v>57600</c:v>
                </c:pt>
                <c:pt idx="413">
                  <c:v>57760</c:v>
                </c:pt>
                <c:pt idx="414">
                  <c:v>58000</c:v>
                </c:pt>
                <c:pt idx="415">
                  <c:v>58000</c:v>
                </c:pt>
                <c:pt idx="416">
                  <c:v>58000</c:v>
                </c:pt>
                <c:pt idx="417">
                  <c:v>59000</c:v>
                </c:pt>
                <c:pt idx="418">
                  <c:v>60000</c:v>
                </c:pt>
                <c:pt idx="419">
                  <c:v>60000</c:v>
                </c:pt>
                <c:pt idx="420">
                  <c:v>60000</c:v>
                </c:pt>
                <c:pt idx="421">
                  <c:v>60000</c:v>
                </c:pt>
                <c:pt idx="422">
                  <c:v>60000</c:v>
                </c:pt>
                <c:pt idx="423">
                  <c:v>60000</c:v>
                </c:pt>
                <c:pt idx="424">
                  <c:v>60000</c:v>
                </c:pt>
                <c:pt idx="425">
                  <c:v>60000</c:v>
                </c:pt>
                <c:pt idx="426">
                  <c:v>63000</c:v>
                </c:pt>
                <c:pt idx="427">
                  <c:v>65000</c:v>
                </c:pt>
                <c:pt idx="428">
                  <c:v>65000</c:v>
                </c:pt>
                <c:pt idx="429">
                  <c:v>65000</c:v>
                </c:pt>
                <c:pt idx="430">
                  <c:v>65000</c:v>
                </c:pt>
                <c:pt idx="431">
                  <c:v>65000</c:v>
                </c:pt>
                <c:pt idx="432">
                  <c:v>66000</c:v>
                </c:pt>
                <c:pt idx="433">
                  <c:v>66000</c:v>
                </c:pt>
                <c:pt idx="434">
                  <c:v>68000</c:v>
                </c:pt>
                <c:pt idx="435">
                  <c:v>68000</c:v>
                </c:pt>
                <c:pt idx="436">
                  <c:v>68000</c:v>
                </c:pt>
                <c:pt idx="437">
                  <c:v>68500</c:v>
                </c:pt>
                <c:pt idx="438">
                  <c:v>69000</c:v>
                </c:pt>
                <c:pt idx="439">
                  <c:v>70000</c:v>
                </c:pt>
                <c:pt idx="440">
                  <c:v>70000</c:v>
                </c:pt>
                <c:pt idx="441">
                  <c:v>70000</c:v>
                </c:pt>
                <c:pt idx="442">
                  <c:v>70000</c:v>
                </c:pt>
                <c:pt idx="443">
                  <c:v>70000</c:v>
                </c:pt>
                <c:pt idx="444">
                  <c:v>70000</c:v>
                </c:pt>
                <c:pt idx="445">
                  <c:v>70000</c:v>
                </c:pt>
                <c:pt idx="446">
                  <c:v>70200</c:v>
                </c:pt>
                <c:pt idx="447">
                  <c:v>71000</c:v>
                </c:pt>
                <c:pt idx="448">
                  <c:v>71000</c:v>
                </c:pt>
                <c:pt idx="449">
                  <c:v>72000</c:v>
                </c:pt>
                <c:pt idx="450">
                  <c:v>72000</c:v>
                </c:pt>
                <c:pt idx="451">
                  <c:v>72000</c:v>
                </c:pt>
                <c:pt idx="452">
                  <c:v>73000</c:v>
                </c:pt>
                <c:pt idx="453">
                  <c:v>73000</c:v>
                </c:pt>
                <c:pt idx="454">
                  <c:v>74000</c:v>
                </c:pt>
                <c:pt idx="455">
                  <c:v>74000</c:v>
                </c:pt>
                <c:pt idx="456">
                  <c:v>74000</c:v>
                </c:pt>
                <c:pt idx="457">
                  <c:v>75000</c:v>
                </c:pt>
                <c:pt idx="458">
                  <c:v>75000</c:v>
                </c:pt>
                <c:pt idx="459">
                  <c:v>75000</c:v>
                </c:pt>
                <c:pt idx="460">
                  <c:v>75000</c:v>
                </c:pt>
                <c:pt idx="461">
                  <c:v>75000</c:v>
                </c:pt>
                <c:pt idx="462">
                  <c:v>75000</c:v>
                </c:pt>
                <c:pt idx="463">
                  <c:v>75000</c:v>
                </c:pt>
                <c:pt idx="464">
                  <c:v>76000</c:v>
                </c:pt>
                <c:pt idx="465">
                  <c:v>77000</c:v>
                </c:pt>
                <c:pt idx="466">
                  <c:v>78000</c:v>
                </c:pt>
                <c:pt idx="467">
                  <c:v>79000</c:v>
                </c:pt>
                <c:pt idx="468">
                  <c:v>79000</c:v>
                </c:pt>
                <c:pt idx="469">
                  <c:v>80000</c:v>
                </c:pt>
                <c:pt idx="470">
                  <c:v>80000</c:v>
                </c:pt>
                <c:pt idx="471">
                  <c:v>80000</c:v>
                </c:pt>
                <c:pt idx="472">
                  <c:v>80000</c:v>
                </c:pt>
                <c:pt idx="473">
                  <c:v>80000</c:v>
                </c:pt>
                <c:pt idx="474">
                  <c:v>82000</c:v>
                </c:pt>
                <c:pt idx="475">
                  <c:v>85000</c:v>
                </c:pt>
                <c:pt idx="476">
                  <c:v>85000</c:v>
                </c:pt>
                <c:pt idx="477">
                  <c:v>85000</c:v>
                </c:pt>
                <c:pt idx="478">
                  <c:v>85000</c:v>
                </c:pt>
                <c:pt idx="479">
                  <c:v>86000</c:v>
                </c:pt>
                <c:pt idx="480">
                  <c:v>90000</c:v>
                </c:pt>
                <c:pt idx="481">
                  <c:v>90000</c:v>
                </c:pt>
                <c:pt idx="482">
                  <c:v>90000</c:v>
                </c:pt>
                <c:pt idx="483">
                  <c:v>90000</c:v>
                </c:pt>
                <c:pt idx="484">
                  <c:v>90000</c:v>
                </c:pt>
                <c:pt idx="485">
                  <c:v>100000</c:v>
                </c:pt>
                <c:pt idx="486">
                  <c:v>100000</c:v>
                </c:pt>
                <c:pt idx="487">
                  <c:v>115000</c:v>
                </c:pt>
                <c:pt idx="488">
                  <c:v>150000</c:v>
                </c:pt>
                <c:pt idx="489">
                  <c:v>150000</c:v>
                </c:pt>
                <c:pt idx="490">
                  <c:v>151872</c:v>
                </c:pt>
                <c:pt idx="491">
                  <c:v>20000</c:v>
                </c:pt>
                <c:pt idx="492">
                  <c:v>32000</c:v>
                </c:pt>
                <c:pt idx="493">
                  <c:v>45000</c:v>
                </c:pt>
                <c:pt idx="494">
                  <c:v>45000</c:v>
                </c:pt>
                <c:pt idx="495">
                  <c:v>50000</c:v>
                </c:pt>
                <c:pt idx="496">
                  <c:v>50000</c:v>
                </c:pt>
                <c:pt idx="497">
                  <c:v>50000</c:v>
                </c:pt>
                <c:pt idx="498">
                  <c:v>50000</c:v>
                </c:pt>
                <c:pt idx="499">
                  <c:v>50400</c:v>
                </c:pt>
                <c:pt idx="500">
                  <c:v>50500</c:v>
                </c:pt>
                <c:pt idx="501">
                  <c:v>53000</c:v>
                </c:pt>
                <c:pt idx="502">
                  <c:v>57000</c:v>
                </c:pt>
                <c:pt idx="503">
                  <c:v>57000</c:v>
                </c:pt>
                <c:pt idx="504">
                  <c:v>57000</c:v>
                </c:pt>
                <c:pt idx="505">
                  <c:v>58000</c:v>
                </c:pt>
                <c:pt idx="506">
                  <c:v>59064</c:v>
                </c:pt>
                <c:pt idx="507">
                  <c:v>60000</c:v>
                </c:pt>
                <c:pt idx="508">
                  <c:v>60000</c:v>
                </c:pt>
                <c:pt idx="509">
                  <c:v>60000</c:v>
                </c:pt>
                <c:pt idx="510">
                  <c:v>60000</c:v>
                </c:pt>
                <c:pt idx="511">
                  <c:v>60000</c:v>
                </c:pt>
                <c:pt idx="512">
                  <c:v>60000</c:v>
                </c:pt>
                <c:pt idx="513">
                  <c:v>60000</c:v>
                </c:pt>
                <c:pt idx="514">
                  <c:v>60000</c:v>
                </c:pt>
                <c:pt idx="515">
                  <c:v>60000</c:v>
                </c:pt>
                <c:pt idx="516">
                  <c:v>60000</c:v>
                </c:pt>
                <c:pt idx="517">
                  <c:v>60000</c:v>
                </c:pt>
                <c:pt idx="518">
                  <c:v>60000</c:v>
                </c:pt>
                <c:pt idx="519">
                  <c:v>60000</c:v>
                </c:pt>
                <c:pt idx="520">
                  <c:v>62000</c:v>
                </c:pt>
                <c:pt idx="521">
                  <c:v>62000</c:v>
                </c:pt>
                <c:pt idx="522">
                  <c:v>63000</c:v>
                </c:pt>
                <c:pt idx="523">
                  <c:v>65000</c:v>
                </c:pt>
                <c:pt idx="524">
                  <c:v>65000</c:v>
                </c:pt>
                <c:pt idx="525">
                  <c:v>65000</c:v>
                </c:pt>
                <c:pt idx="526">
                  <c:v>67000</c:v>
                </c:pt>
                <c:pt idx="527">
                  <c:v>67473</c:v>
                </c:pt>
                <c:pt idx="528">
                  <c:v>68000</c:v>
                </c:pt>
                <c:pt idx="529">
                  <c:v>68000</c:v>
                </c:pt>
                <c:pt idx="530">
                  <c:v>68000</c:v>
                </c:pt>
                <c:pt idx="531">
                  <c:v>69000</c:v>
                </c:pt>
                <c:pt idx="532">
                  <c:v>70000</c:v>
                </c:pt>
                <c:pt idx="533">
                  <c:v>70000</c:v>
                </c:pt>
                <c:pt idx="534">
                  <c:v>70000</c:v>
                </c:pt>
                <c:pt idx="535">
                  <c:v>70000</c:v>
                </c:pt>
                <c:pt idx="536">
                  <c:v>71060</c:v>
                </c:pt>
                <c:pt idx="537">
                  <c:v>74000</c:v>
                </c:pt>
                <c:pt idx="538">
                  <c:v>75000</c:v>
                </c:pt>
                <c:pt idx="539">
                  <c:v>75000</c:v>
                </c:pt>
                <c:pt idx="540">
                  <c:v>75000</c:v>
                </c:pt>
                <c:pt idx="541">
                  <c:v>75000</c:v>
                </c:pt>
                <c:pt idx="542">
                  <c:v>75000</c:v>
                </c:pt>
                <c:pt idx="543">
                  <c:v>76000</c:v>
                </c:pt>
                <c:pt idx="544">
                  <c:v>76000</c:v>
                </c:pt>
                <c:pt idx="545">
                  <c:v>77000</c:v>
                </c:pt>
                <c:pt idx="546">
                  <c:v>77000</c:v>
                </c:pt>
                <c:pt idx="547">
                  <c:v>77500</c:v>
                </c:pt>
                <c:pt idx="548">
                  <c:v>78000</c:v>
                </c:pt>
                <c:pt idx="549">
                  <c:v>79000</c:v>
                </c:pt>
                <c:pt idx="550">
                  <c:v>80000</c:v>
                </c:pt>
                <c:pt idx="551">
                  <c:v>80000</c:v>
                </c:pt>
                <c:pt idx="552">
                  <c:v>80000</c:v>
                </c:pt>
                <c:pt idx="553">
                  <c:v>80000</c:v>
                </c:pt>
                <c:pt idx="554">
                  <c:v>80000</c:v>
                </c:pt>
                <c:pt idx="555">
                  <c:v>80000</c:v>
                </c:pt>
                <c:pt idx="556">
                  <c:v>80000</c:v>
                </c:pt>
                <c:pt idx="557">
                  <c:v>80000</c:v>
                </c:pt>
                <c:pt idx="558">
                  <c:v>80000</c:v>
                </c:pt>
                <c:pt idx="559">
                  <c:v>81000</c:v>
                </c:pt>
                <c:pt idx="560">
                  <c:v>81000</c:v>
                </c:pt>
                <c:pt idx="561">
                  <c:v>82000</c:v>
                </c:pt>
                <c:pt idx="562">
                  <c:v>83000</c:v>
                </c:pt>
                <c:pt idx="563">
                  <c:v>85000</c:v>
                </c:pt>
                <c:pt idx="564">
                  <c:v>85000</c:v>
                </c:pt>
                <c:pt idx="565">
                  <c:v>85000</c:v>
                </c:pt>
                <c:pt idx="566">
                  <c:v>90000</c:v>
                </c:pt>
                <c:pt idx="567">
                  <c:v>90000</c:v>
                </c:pt>
                <c:pt idx="568">
                  <c:v>90000</c:v>
                </c:pt>
                <c:pt idx="569">
                  <c:v>92500</c:v>
                </c:pt>
                <c:pt idx="570">
                  <c:v>95000</c:v>
                </c:pt>
                <c:pt idx="571">
                  <c:v>99000</c:v>
                </c:pt>
                <c:pt idx="572">
                  <c:v>100000</c:v>
                </c:pt>
                <c:pt idx="573">
                  <c:v>100000</c:v>
                </c:pt>
                <c:pt idx="574">
                  <c:v>110000</c:v>
                </c:pt>
                <c:pt idx="575">
                  <c:v>110000</c:v>
                </c:pt>
                <c:pt idx="576">
                  <c:v>115000</c:v>
                </c:pt>
                <c:pt idx="577">
                  <c:v>115000</c:v>
                </c:pt>
                <c:pt idx="578">
                  <c:v>36000</c:v>
                </c:pt>
                <c:pt idx="579">
                  <c:v>37500</c:v>
                </c:pt>
                <c:pt idx="580">
                  <c:v>48000</c:v>
                </c:pt>
                <c:pt idx="581">
                  <c:v>48000</c:v>
                </c:pt>
                <c:pt idx="582">
                  <c:v>49000</c:v>
                </c:pt>
                <c:pt idx="583">
                  <c:v>50400</c:v>
                </c:pt>
                <c:pt idx="584">
                  <c:v>52000</c:v>
                </c:pt>
                <c:pt idx="585">
                  <c:v>52500</c:v>
                </c:pt>
                <c:pt idx="586">
                  <c:v>54000</c:v>
                </c:pt>
                <c:pt idx="587">
                  <c:v>55000</c:v>
                </c:pt>
                <c:pt idx="588">
                  <c:v>55000</c:v>
                </c:pt>
                <c:pt idx="589">
                  <c:v>55000</c:v>
                </c:pt>
                <c:pt idx="590">
                  <c:v>58000</c:v>
                </c:pt>
                <c:pt idx="591">
                  <c:v>60000</c:v>
                </c:pt>
                <c:pt idx="592">
                  <c:v>60000</c:v>
                </c:pt>
                <c:pt idx="593">
                  <c:v>60000</c:v>
                </c:pt>
                <c:pt idx="594">
                  <c:v>60000</c:v>
                </c:pt>
                <c:pt idx="595">
                  <c:v>60000</c:v>
                </c:pt>
                <c:pt idx="596">
                  <c:v>60000</c:v>
                </c:pt>
                <c:pt idx="597">
                  <c:v>60000</c:v>
                </c:pt>
                <c:pt idx="598">
                  <c:v>60000</c:v>
                </c:pt>
                <c:pt idx="599">
                  <c:v>60000</c:v>
                </c:pt>
                <c:pt idx="600">
                  <c:v>61000</c:v>
                </c:pt>
                <c:pt idx="601">
                  <c:v>62000</c:v>
                </c:pt>
                <c:pt idx="602">
                  <c:v>62000</c:v>
                </c:pt>
                <c:pt idx="603">
                  <c:v>62000</c:v>
                </c:pt>
                <c:pt idx="604">
                  <c:v>62000</c:v>
                </c:pt>
                <c:pt idx="605">
                  <c:v>63000</c:v>
                </c:pt>
                <c:pt idx="606">
                  <c:v>63000</c:v>
                </c:pt>
                <c:pt idx="607">
                  <c:v>65000</c:v>
                </c:pt>
                <c:pt idx="608">
                  <c:v>65000</c:v>
                </c:pt>
                <c:pt idx="609">
                  <c:v>65000</c:v>
                </c:pt>
                <c:pt idx="610">
                  <c:v>65000</c:v>
                </c:pt>
                <c:pt idx="611">
                  <c:v>65000</c:v>
                </c:pt>
                <c:pt idx="612">
                  <c:v>65000</c:v>
                </c:pt>
                <c:pt idx="613">
                  <c:v>65000</c:v>
                </c:pt>
                <c:pt idx="614">
                  <c:v>65000</c:v>
                </c:pt>
                <c:pt idx="615">
                  <c:v>65000</c:v>
                </c:pt>
                <c:pt idx="616">
                  <c:v>66300</c:v>
                </c:pt>
                <c:pt idx="617">
                  <c:v>66800</c:v>
                </c:pt>
                <c:pt idx="618">
                  <c:v>68000</c:v>
                </c:pt>
                <c:pt idx="619">
                  <c:v>68000</c:v>
                </c:pt>
                <c:pt idx="620">
                  <c:v>68500</c:v>
                </c:pt>
                <c:pt idx="621">
                  <c:v>70000</c:v>
                </c:pt>
                <c:pt idx="622">
                  <c:v>70000</c:v>
                </c:pt>
                <c:pt idx="623">
                  <c:v>70000</c:v>
                </c:pt>
                <c:pt idx="624">
                  <c:v>70000</c:v>
                </c:pt>
                <c:pt idx="625">
                  <c:v>70800</c:v>
                </c:pt>
                <c:pt idx="626">
                  <c:v>72000</c:v>
                </c:pt>
                <c:pt idx="627">
                  <c:v>72000</c:v>
                </c:pt>
                <c:pt idx="628">
                  <c:v>72000</c:v>
                </c:pt>
                <c:pt idx="629">
                  <c:v>72500</c:v>
                </c:pt>
                <c:pt idx="630">
                  <c:v>73000</c:v>
                </c:pt>
                <c:pt idx="631">
                  <c:v>74000</c:v>
                </c:pt>
                <c:pt idx="632">
                  <c:v>75000</c:v>
                </c:pt>
                <c:pt idx="633">
                  <c:v>75000</c:v>
                </c:pt>
                <c:pt idx="634">
                  <c:v>75000</c:v>
                </c:pt>
                <c:pt idx="635">
                  <c:v>75000</c:v>
                </c:pt>
                <c:pt idx="636">
                  <c:v>76000</c:v>
                </c:pt>
                <c:pt idx="637">
                  <c:v>76000</c:v>
                </c:pt>
                <c:pt idx="638">
                  <c:v>77000</c:v>
                </c:pt>
                <c:pt idx="639">
                  <c:v>80000</c:v>
                </c:pt>
                <c:pt idx="640">
                  <c:v>80000</c:v>
                </c:pt>
                <c:pt idx="641">
                  <c:v>80000</c:v>
                </c:pt>
                <c:pt idx="642">
                  <c:v>80000</c:v>
                </c:pt>
                <c:pt idx="643">
                  <c:v>80000</c:v>
                </c:pt>
                <c:pt idx="644">
                  <c:v>80000</c:v>
                </c:pt>
                <c:pt idx="645">
                  <c:v>80000</c:v>
                </c:pt>
                <c:pt idx="646">
                  <c:v>81000</c:v>
                </c:pt>
                <c:pt idx="647">
                  <c:v>81200</c:v>
                </c:pt>
                <c:pt idx="648">
                  <c:v>82000</c:v>
                </c:pt>
                <c:pt idx="649">
                  <c:v>83000</c:v>
                </c:pt>
                <c:pt idx="650">
                  <c:v>83000</c:v>
                </c:pt>
                <c:pt idx="651">
                  <c:v>85000</c:v>
                </c:pt>
                <c:pt idx="652">
                  <c:v>85000</c:v>
                </c:pt>
                <c:pt idx="653">
                  <c:v>85000</c:v>
                </c:pt>
                <c:pt idx="654">
                  <c:v>85000</c:v>
                </c:pt>
                <c:pt idx="655">
                  <c:v>88000</c:v>
                </c:pt>
                <c:pt idx="656">
                  <c:v>90000</c:v>
                </c:pt>
                <c:pt idx="657">
                  <c:v>90000</c:v>
                </c:pt>
                <c:pt idx="658">
                  <c:v>90000</c:v>
                </c:pt>
                <c:pt idx="659">
                  <c:v>90000</c:v>
                </c:pt>
                <c:pt idx="660">
                  <c:v>92000</c:v>
                </c:pt>
                <c:pt idx="661">
                  <c:v>95000</c:v>
                </c:pt>
                <c:pt idx="662">
                  <c:v>95000</c:v>
                </c:pt>
                <c:pt idx="663">
                  <c:v>95000</c:v>
                </c:pt>
                <c:pt idx="664">
                  <c:v>95000</c:v>
                </c:pt>
                <c:pt idx="665">
                  <c:v>100000</c:v>
                </c:pt>
                <c:pt idx="666">
                  <c:v>100000</c:v>
                </c:pt>
                <c:pt idx="667">
                  <c:v>105000</c:v>
                </c:pt>
                <c:pt idx="668">
                  <c:v>110000</c:v>
                </c:pt>
                <c:pt idx="669">
                  <c:v>120000</c:v>
                </c:pt>
                <c:pt idx="670">
                  <c:v>130000</c:v>
                </c:pt>
                <c:pt idx="671">
                  <c:v>200000</c:v>
                </c:pt>
                <c:pt idx="672">
                  <c:v>26400</c:v>
                </c:pt>
                <c:pt idx="673">
                  <c:v>42000</c:v>
                </c:pt>
                <c:pt idx="674">
                  <c:v>42000</c:v>
                </c:pt>
                <c:pt idx="675">
                  <c:v>47500</c:v>
                </c:pt>
                <c:pt idx="676">
                  <c:v>47745</c:v>
                </c:pt>
                <c:pt idx="677">
                  <c:v>49000</c:v>
                </c:pt>
                <c:pt idx="678">
                  <c:v>50000</c:v>
                </c:pt>
                <c:pt idx="679">
                  <c:v>50000</c:v>
                </c:pt>
                <c:pt idx="680">
                  <c:v>54000</c:v>
                </c:pt>
                <c:pt idx="681">
                  <c:v>54000</c:v>
                </c:pt>
                <c:pt idx="682">
                  <c:v>55000</c:v>
                </c:pt>
                <c:pt idx="683">
                  <c:v>56000</c:v>
                </c:pt>
                <c:pt idx="684">
                  <c:v>57000</c:v>
                </c:pt>
                <c:pt idx="685">
                  <c:v>58000</c:v>
                </c:pt>
                <c:pt idx="686">
                  <c:v>58000</c:v>
                </c:pt>
                <c:pt idx="687">
                  <c:v>60000</c:v>
                </c:pt>
                <c:pt idx="688">
                  <c:v>60000</c:v>
                </c:pt>
                <c:pt idx="689">
                  <c:v>60000</c:v>
                </c:pt>
                <c:pt idx="690">
                  <c:v>60000</c:v>
                </c:pt>
                <c:pt idx="691">
                  <c:v>60000</c:v>
                </c:pt>
                <c:pt idx="692">
                  <c:v>61000</c:v>
                </c:pt>
                <c:pt idx="693">
                  <c:v>62000</c:v>
                </c:pt>
                <c:pt idx="694">
                  <c:v>62000</c:v>
                </c:pt>
                <c:pt idx="695">
                  <c:v>62000</c:v>
                </c:pt>
                <c:pt idx="696">
                  <c:v>63000</c:v>
                </c:pt>
                <c:pt idx="697">
                  <c:v>65000</c:v>
                </c:pt>
                <c:pt idx="698">
                  <c:v>65000</c:v>
                </c:pt>
                <c:pt idx="699">
                  <c:v>65000</c:v>
                </c:pt>
                <c:pt idx="700">
                  <c:v>65000</c:v>
                </c:pt>
                <c:pt idx="701">
                  <c:v>65000</c:v>
                </c:pt>
                <c:pt idx="702">
                  <c:v>65000</c:v>
                </c:pt>
                <c:pt idx="703">
                  <c:v>65900</c:v>
                </c:pt>
                <c:pt idx="704">
                  <c:v>66000</c:v>
                </c:pt>
                <c:pt idx="705">
                  <c:v>67000</c:v>
                </c:pt>
                <c:pt idx="706">
                  <c:v>67000</c:v>
                </c:pt>
                <c:pt idx="707">
                  <c:v>67000</c:v>
                </c:pt>
                <c:pt idx="708">
                  <c:v>68000</c:v>
                </c:pt>
                <c:pt idx="709">
                  <c:v>68000</c:v>
                </c:pt>
                <c:pt idx="710">
                  <c:v>70000</c:v>
                </c:pt>
                <c:pt idx="711">
                  <c:v>70000</c:v>
                </c:pt>
                <c:pt idx="712">
                  <c:v>70000</c:v>
                </c:pt>
                <c:pt idx="713">
                  <c:v>70000</c:v>
                </c:pt>
                <c:pt idx="714">
                  <c:v>70000</c:v>
                </c:pt>
                <c:pt idx="715">
                  <c:v>70000</c:v>
                </c:pt>
                <c:pt idx="716">
                  <c:v>70000</c:v>
                </c:pt>
                <c:pt idx="717">
                  <c:v>70000</c:v>
                </c:pt>
                <c:pt idx="718">
                  <c:v>70000</c:v>
                </c:pt>
                <c:pt idx="719">
                  <c:v>70000</c:v>
                </c:pt>
                <c:pt idx="720">
                  <c:v>70200</c:v>
                </c:pt>
                <c:pt idx="721">
                  <c:v>74000</c:v>
                </c:pt>
                <c:pt idx="722">
                  <c:v>75000</c:v>
                </c:pt>
                <c:pt idx="723">
                  <c:v>75000</c:v>
                </c:pt>
                <c:pt idx="724">
                  <c:v>75000</c:v>
                </c:pt>
                <c:pt idx="725">
                  <c:v>75000</c:v>
                </c:pt>
                <c:pt idx="726">
                  <c:v>75000</c:v>
                </c:pt>
                <c:pt idx="727">
                  <c:v>75000</c:v>
                </c:pt>
                <c:pt idx="728">
                  <c:v>75000</c:v>
                </c:pt>
                <c:pt idx="729">
                  <c:v>77000</c:v>
                </c:pt>
                <c:pt idx="730">
                  <c:v>78000</c:v>
                </c:pt>
                <c:pt idx="731">
                  <c:v>78600</c:v>
                </c:pt>
                <c:pt idx="732">
                  <c:v>79000</c:v>
                </c:pt>
                <c:pt idx="733">
                  <c:v>80000</c:v>
                </c:pt>
                <c:pt idx="734">
                  <c:v>80000</c:v>
                </c:pt>
                <c:pt idx="735">
                  <c:v>80000</c:v>
                </c:pt>
                <c:pt idx="736">
                  <c:v>80000</c:v>
                </c:pt>
                <c:pt idx="737">
                  <c:v>81900</c:v>
                </c:pt>
                <c:pt idx="738">
                  <c:v>83000</c:v>
                </c:pt>
                <c:pt idx="739">
                  <c:v>83000</c:v>
                </c:pt>
                <c:pt idx="740">
                  <c:v>85000</c:v>
                </c:pt>
                <c:pt idx="741">
                  <c:v>85000</c:v>
                </c:pt>
                <c:pt idx="742">
                  <c:v>85000</c:v>
                </c:pt>
                <c:pt idx="743">
                  <c:v>85000</c:v>
                </c:pt>
                <c:pt idx="744">
                  <c:v>88000</c:v>
                </c:pt>
                <c:pt idx="745">
                  <c:v>90000</c:v>
                </c:pt>
                <c:pt idx="746">
                  <c:v>90000</c:v>
                </c:pt>
                <c:pt idx="747">
                  <c:v>90000</c:v>
                </c:pt>
                <c:pt idx="748">
                  <c:v>90000</c:v>
                </c:pt>
                <c:pt idx="749">
                  <c:v>90000</c:v>
                </c:pt>
                <c:pt idx="750">
                  <c:v>90000</c:v>
                </c:pt>
                <c:pt idx="751">
                  <c:v>93000</c:v>
                </c:pt>
                <c:pt idx="752">
                  <c:v>95000</c:v>
                </c:pt>
                <c:pt idx="753">
                  <c:v>100000</c:v>
                </c:pt>
                <c:pt idx="754">
                  <c:v>100000</c:v>
                </c:pt>
                <c:pt idx="755">
                  <c:v>100000</c:v>
                </c:pt>
                <c:pt idx="756">
                  <c:v>100000</c:v>
                </c:pt>
                <c:pt idx="757">
                  <c:v>100000</c:v>
                </c:pt>
                <c:pt idx="758">
                  <c:v>107000</c:v>
                </c:pt>
                <c:pt idx="759">
                  <c:v>110000</c:v>
                </c:pt>
                <c:pt idx="760">
                  <c:v>110000</c:v>
                </c:pt>
                <c:pt idx="761">
                  <c:v>120000</c:v>
                </c:pt>
                <c:pt idx="762">
                  <c:v>120000</c:v>
                </c:pt>
                <c:pt idx="763">
                  <c:v>130000</c:v>
                </c:pt>
                <c:pt idx="764">
                  <c:v>150000</c:v>
                </c:pt>
                <c:pt idx="765">
                  <c:v>154000</c:v>
                </c:pt>
                <c:pt idx="766">
                  <c:v>45000</c:v>
                </c:pt>
                <c:pt idx="767">
                  <c:v>54000</c:v>
                </c:pt>
                <c:pt idx="768">
                  <c:v>54000</c:v>
                </c:pt>
                <c:pt idx="769">
                  <c:v>55000</c:v>
                </c:pt>
                <c:pt idx="770">
                  <c:v>55000</c:v>
                </c:pt>
                <c:pt idx="771">
                  <c:v>56000</c:v>
                </c:pt>
                <c:pt idx="772">
                  <c:v>60000</c:v>
                </c:pt>
                <c:pt idx="773">
                  <c:v>60000</c:v>
                </c:pt>
                <c:pt idx="774">
                  <c:v>60000</c:v>
                </c:pt>
                <c:pt idx="775">
                  <c:v>60000</c:v>
                </c:pt>
                <c:pt idx="776">
                  <c:v>60000</c:v>
                </c:pt>
                <c:pt idx="777">
                  <c:v>62000</c:v>
                </c:pt>
                <c:pt idx="778">
                  <c:v>63000</c:v>
                </c:pt>
                <c:pt idx="779">
                  <c:v>65000</c:v>
                </c:pt>
                <c:pt idx="780">
                  <c:v>65000</c:v>
                </c:pt>
                <c:pt idx="781">
                  <c:v>65000</c:v>
                </c:pt>
                <c:pt idx="782">
                  <c:v>65600</c:v>
                </c:pt>
                <c:pt idx="783">
                  <c:v>66000</c:v>
                </c:pt>
                <c:pt idx="784">
                  <c:v>67500</c:v>
                </c:pt>
                <c:pt idx="785">
                  <c:v>67500</c:v>
                </c:pt>
                <c:pt idx="786">
                  <c:v>68000</c:v>
                </c:pt>
                <c:pt idx="787">
                  <c:v>70000</c:v>
                </c:pt>
                <c:pt idx="788">
                  <c:v>70000</c:v>
                </c:pt>
                <c:pt idx="789">
                  <c:v>70000</c:v>
                </c:pt>
                <c:pt idx="790">
                  <c:v>70000</c:v>
                </c:pt>
                <c:pt idx="791">
                  <c:v>70000</c:v>
                </c:pt>
                <c:pt idx="792">
                  <c:v>70000</c:v>
                </c:pt>
                <c:pt idx="793">
                  <c:v>70000</c:v>
                </c:pt>
                <c:pt idx="794">
                  <c:v>72000</c:v>
                </c:pt>
                <c:pt idx="795">
                  <c:v>72000</c:v>
                </c:pt>
                <c:pt idx="796">
                  <c:v>72000</c:v>
                </c:pt>
                <c:pt idx="797">
                  <c:v>72000</c:v>
                </c:pt>
                <c:pt idx="798">
                  <c:v>72000</c:v>
                </c:pt>
                <c:pt idx="799">
                  <c:v>73500</c:v>
                </c:pt>
                <c:pt idx="800">
                  <c:v>74000</c:v>
                </c:pt>
                <c:pt idx="801">
                  <c:v>74000</c:v>
                </c:pt>
                <c:pt idx="802">
                  <c:v>75000</c:v>
                </c:pt>
                <c:pt idx="803">
                  <c:v>75000</c:v>
                </c:pt>
                <c:pt idx="804">
                  <c:v>75000</c:v>
                </c:pt>
                <c:pt idx="805">
                  <c:v>76000</c:v>
                </c:pt>
                <c:pt idx="806">
                  <c:v>76500</c:v>
                </c:pt>
                <c:pt idx="807">
                  <c:v>77500</c:v>
                </c:pt>
                <c:pt idx="808">
                  <c:v>78000</c:v>
                </c:pt>
                <c:pt idx="809">
                  <c:v>78000</c:v>
                </c:pt>
                <c:pt idx="810">
                  <c:v>80000</c:v>
                </c:pt>
                <c:pt idx="811">
                  <c:v>80000</c:v>
                </c:pt>
                <c:pt idx="812">
                  <c:v>80000</c:v>
                </c:pt>
                <c:pt idx="813">
                  <c:v>80000</c:v>
                </c:pt>
                <c:pt idx="814">
                  <c:v>80000</c:v>
                </c:pt>
                <c:pt idx="815">
                  <c:v>84000</c:v>
                </c:pt>
                <c:pt idx="816">
                  <c:v>85000</c:v>
                </c:pt>
                <c:pt idx="817">
                  <c:v>85000</c:v>
                </c:pt>
                <c:pt idx="818">
                  <c:v>85000</c:v>
                </c:pt>
                <c:pt idx="819">
                  <c:v>85000</c:v>
                </c:pt>
                <c:pt idx="820">
                  <c:v>85000</c:v>
                </c:pt>
                <c:pt idx="821">
                  <c:v>90000</c:v>
                </c:pt>
                <c:pt idx="822">
                  <c:v>90000</c:v>
                </c:pt>
                <c:pt idx="823">
                  <c:v>90000</c:v>
                </c:pt>
                <c:pt idx="824">
                  <c:v>91000</c:v>
                </c:pt>
                <c:pt idx="825">
                  <c:v>94000</c:v>
                </c:pt>
                <c:pt idx="826">
                  <c:v>95000</c:v>
                </c:pt>
                <c:pt idx="827">
                  <c:v>95000</c:v>
                </c:pt>
                <c:pt idx="828">
                  <c:v>95000</c:v>
                </c:pt>
                <c:pt idx="829">
                  <c:v>95000</c:v>
                </c:pt>
                <c:pt idx="830">
                  <c:v>95000</c:v>
                </c:pt>
                <c:pt idx="831">
                  <c:v>96000</c:v>
                </c:pt>
                <c:pt idx="832">
                  <c:v>100000</c:v>
                </c:pt>
                <c:pt idx="833">
                  <c:v>100000</c:v>
                </c:pt>
                <c:pt idx="834">
                  <c:v>103000</c:v>
                </c:pt>
                <c:pt idx="835">
                  <c:v>105000</c:v>
                </c:pt>
                <c:pt idx="836">
                  <c:v>108000</c:v>
                </c:pt>
                <c:pt idx="837">
                  <c:v>108500</c:v>
                </c:pt>
                <c:pt idx="838">
                  <c:v>120000</c:v>
                </c:pt>
                <c:pt idx="839">
                  <c:v>120000</c:v>
                </c:pt>
                <c:pt idx="840">
                  <c:v>30000</c:v>
                </c:pt>
                <c:pt idx="841">
                  <c:v>30000</c:v>
                </c:pt>
                <c:pt idx="842">
                  <c:v>40000</c:v>
                </c:pt>
                <c:pt idx="843">
                  <c:v>42000</c:v>
                </c:pt>
                <c:pt idx="844">
                  <c:v>44000</c:v>
                </c:pt>
                <c:pt idx="845">
                  <c:v>46000</c:v>
                </c:pt>
                <c:pt idx="846">
                  <c:v>49000</c:v>
                </c:pt>
                <c:pt idx="847">
                  <c:v>50000</c:v>
                </c:pt>
                <c:pt idx="848">
                  <c:v>50000</c:v>
                </c:pt>
                <c:pt idx="849">
                  <c:v>50000</c:v>
                </c:pt>
                <c:pt idx="850">
                  <c:v>50400</c:v>
                </c:pt>
                <c:pt idx="851">
                  <c:v>51000</c:v>
                </c:pt>
                <c:pt idx="852">
                  <c:v>53000</c:v>
                </c:pt>
                <c:pt idx="853">
                  <c:v>54000</c:v>
                </c:pt>
                <c:pt idx="854">
                  <c:v>55000</c:v>
                </c:pt>
                <c:pt idx="855">
                  <c:v>56000</c:v>
                </c:pt>
                <c:pt idx="856">
                  <c:v>60000</c:v>
                </c:pt>
                <c:pt idx="857">
                  <c:v>60000</c:v>
                </c:pt>
                <c:pt idx="858">
                  <c:v>60000</c:v>
                </c:pt>
                <c:pt idx="859">
                  <c:v>60000</c:v>
                </c:pt>
                <c:pt idx="860">
                  <c:v>63000</c:v>
                </c:pt>
                <c:pt idx="861">
                  <c:v>63000</c:v>
                </c:pt>
                <c:pt idx="862">
                  <c:v>63500</c:v>
                </c:pt>
                <c:pt idx="863">
                  <c:v>65000</c:v>
                </c:pt>
                <c:pt idx="864">
                  <c:v>65000</c:v>
                </c:pt>
                <c:pt idx="865">
                  <c:v>65000</c:v>
                </c:pt>
                <c:pt idx="866">
                  <c:v>66000</c:v>
                </c:pt>
                <c:pt idx="867">
                  <c:v>66000</c:v>
                </c:pt>
                <c:pt idx="868">
                  <c:v>66500</c:v>
                </c:pt>
                <c:pt idx="869">
                  <c:v>67000</c:v>
                </c:pt>
                <c:pt idx="870">
                  <c:v>68000</c:v>
                </c:pt>
                <c:pt idx="871">
                  <c:v>68000</c:v>
                </c:pt>
                <c:pt idx="872">
                  <c:v>70000</c:v>
                </c:pt>
                <c:pt idx="873">
                  <c:v>70000</c:v>
                </c:pt>
                <c:pt idx="874">
                  <c:v>70000</c:v>
                </c:pt>
                <c:pt idx="875">
                  <c:v>70000</c:v>
                </c:pt>
                <c:pt idx="876">
                  <c:v>72000</c:v>
                </c:pt>
                <c:pt idx="877">
                  <c:v>72000</c:v>
                </c:pt>
                <c:pt idx="878">
                  <c:v>74000</c:v>
                </c:pt>
                <c:pt idx="879">
                  <c:v>74400</c:v>
                </c:pt>
                <c:pt idx="880">
                  <c:v>75000</c:v>
                </c:pt>
                <c:pt idx="881">
                  <c:v>75000</c:v>
                </c:pt>
                <c:pt idx="882">
                  <c:v>75000</c:v>
                </c:pt>
                <c:pt idx="883">
                  <c:v>75000</c:v>
                </c:pt>
                <c:pt idx="884">
                  <c:v>75000</c:v>
                </c:pt>
                <c:pt idx="885">
                  <c:v>75000</c:v>
                </c:pt>
                <c:pt idx="886">
                  <c:v>75000</c:v>
                </c:pt>
                <c:pt idx="887">
                  <c:v>76000</c:v>
                </c:pt>
                <c:pt idx="888">
                  <c:v>77000</c:v>
                </c:pt>
                <c:pt idx="889">
                  <c:v>77000</c:v>
                </c:pt>
                <c:pt idx="890">
                  <c:v>77000</c:v>
                </c:pt>
                <c:pt idx="891">
                  <c:v>77000</c:v>
                </c:pt>
                <c:pt idx="892">
                  <c:v>78000</c:v>
                </c:pt>
                <c:pt idx="893">
                  <c:v>80000</c:v>
                </c:pt>
                <c:pt idx="894">
                  <c:v>80000</c:v>
                </c:pt>
                <c:pt idx="895">
                  <c:v>80000</c:v>
                </c:pt>
                <c:pt idx="896">
                  <c:v>80000</c:v>
                </c:pt>
                <c:pt idx="897">
                  <c:v>84000</c:v>
                </c:pt>
                <c:pt idx="898">
                  <c:v>85000</c:v>
                </c:pt>
                <c:pt idx="899">
                  <c:v>85000</c:v>
                </c:pt>
                <c:pt idx="900">
                  <c:v>85000</c:v>
                </c:pt>
                <c:pt idx="901">
                  <c:v>85000</c:v>
                </c:pt>
                <c:pt idx="902">
                  <c:v>85000</c:v>
                </c:pt>
                <c:pt idx="903">
                  <c:v>85000</c:v>
                </c:pt>
                <c:pt idx="904">
                  <c:v>85000</c:v>
                </c:pt>
                <c:pt idx="905">
                  <c:v>90000</c:v>
                </c:pt>
                <c:pt idx="906">
                  <c:v>90000</c:v>
                </c:pt>
                <c:pt idx="907">
                  <c:v>90000</c:v>
                </c:pt>
                <c:pt idx="908">
                  <c:v>90000</c:v>
                </c:pt>
                <c:pt idx="909">
                  <c:v>95000</c:v>
                </c:pt>
                <c:pt idx="910">
                  <c:v>95000</c:v>
                </c:pt>
                <c:pt idx="911">
                  <c:v>96000</c:v>
                </c:pt>
                <c:pt idx="912">
                  <c:v>98000</c:v>
                </c:pt>
                <c:pt idx="913">
                  <c:v>100000</c:v>
                </c:pt>
                <c:pt idx="914">
                  <c:v>100000</c:v>
                </c:pt>
                <c:pt idx="915">
                  <c:v>100000</c:v>
                </c:pt>
                <c:pt idx="916">
                  <c:v>100000</c:v>
                </c:pt>
                <c:pt idx="917">
                  <c:v>100000</c:v>
                </c:pt>
                <c:pt idx="918">
                  <c:v>103000</c:v>
                </c:pt>
                <c:pt idx="919">
                  <c:v>120000</c:v>
                </c:pt>
                <c:pt idx="920">
                  <c:v>140000</c:v>
                </c:pt>
                <c:pt idx="921">
                  <c:v>200000</c:v>
                </c:pt>
                <c:pt idx="922">
                  <c:v>37500</c:v>
                </c:pt>
                <c:pt idx="923">
                  <c:v>40000</c:v>
                </c:pt>
                <c:pt idx="924">
                  <c:v>42000</c:v>
                </c:pt>
                <c:pt idx="925">
                  <c:v>48000</c:v>
                </c:pt>
                <c:pt idx="926">
                  <c:v>50000</c:v>
                </c:pt>
                <c:pt idx="927">
                  <c:v>52500</c:v>
                </c:pt>
                <c:pt idx="928">
                  <c:v>55000</c:v>
                </c:pt>
                <c:pt idx="929">
                  <c:v>55000</c:v>
                </c:pt>
                <c:pt idx="930">
                  <c:v>58000</c:v>
                </c:pt>
                <c:pt idx="931">
                  <c:v>60000</c:v>
                </c:pt>
                <c:pt idx="932">
                  <c:v>60000</c:v>
                </c:pt>
                <c:pt idx="933">
                  <c:v>60000</c:v>
                </c:pt>
                <c:pt idx="934">
                  <c:v>62000</c:v>
                </c:pt>
                <c:pt idx="935">
                  <c:v>62500</c:v>
                </c:pt>
                <c:pt idx="936">
                  <c:v>63000</c:v>
                </c:pt>
                <c:pt idx="937">
                  <c:v>64000</c:v>
                </c:pt>
                <c:pt idx="938">
                  <c:v>65000</c:v>
                </c:pt>
                <c:pt idx="939">
                  <c:v>65000</c:v>
                </c:pt>
                <c:pt idx="940">
                  <c:v>65000</c:v>
                </c:pt>
                <c:pt idx="941">
                  <c:v>66000</c:v>
                </c:pt>
                <c:pt idx="942">
                  <c:v>68000</c:v>
                </c:pt>
                <c:pt idx="943">
                  <c:v>68000</c:v>
                </c:pt>
                <c:pt idx="944">
                  <c:v>69000</c:v>
                </c:pt>
                <c:pt idx="945">
                  <c:v>69000</c:v>
                </c:pt>
                <c:pt idx="946">
                  <c:v>70000</c:v>
                </c:pt>
                <c:pt idx="947">
                  <c:v>70000</c:v>
                </c:pt>
                <c:pt idx="948">
                  <c:v>70000</c:v>
                </c:pt>
                <c:pt idx="949">
                  <c:v>70000</c:v>
                </c:pt>
                <c:pt idx="950">
                  <c:v>72000</c:v>
                </c:pt>
                <c:pt idx="951">
                  <c:v>72000</c:v>
                </c:pt>
                <c:pt idx="952">
                  <c:v>74000</c:v>
                </c:pt>
                <c:pt idx="953">
                  <c:v>75000</c:v>
                </c:pt>
                <c:pt idx="954">
                  <c:v>75000</c:v>
                </c:pt>
                <c:pt idx="955">
                  <c:v>75000</c:v>
                </c:pt>
                <c:pt idx="956">
                  <c:v>75000</c:v>
                </c:pt>
                <c:pt idx="957">
                  <c:v>78000</c:v>
                </c:pt>
                <c:pt idx="958">
                  <c:v>79300</c:v>
                </c:pt>
                <c:pt idx="959">
                  <c:v>80000</c:v>
                </c:pt>
                <c:pt idx="960">
                  <c:v>80000</c:v>
                </c:pt>
                <c:pt idx="961">
                  <c:v>81500</c:v>
                </c:pt>
                <c:pt idx="962">
                  <c:v>82000</c:v>
                </c:pt>
                <c:pt idx="963">
                  <c:v>83000</c:v>
                </c:pt>
                <c:pt idx="964">
                  <c:v>85000</c:v>
                </c:pt>
                <c:pt idx="965">
                  <c:v>85000</c:v>
                </c:pt>
                <c:pt idx="966">
                  <c:v>87000</c:v>
                </c:pt>
                <c:pt idx="967">
                  <c:v>88000</c:v>
                </c:pt>
                <c:pt idx="968">
                  <c:v>89200</c:v>
                </c:pt>
                <c:pt idx="969">
                  <c:v>90000</c:v>
                </c:pt>
                <c:pt idx="970">
                  <c:v>90000</c:v>
                </c:pt>
                <c:pt idx="971">
                  <c:v>98000</c:v>
                </c:pt>
                <c:pt idx="972">
                  <c:v>100000</c:v>
                </c:pt>
                <c:pt idx="973">
                  <c:v>100000</c:v>
                </c:pt>
                <c:pt idx="974">
                  <c:v>105000</c:v>
                </c:pt>
                <c:pt idx="975">
                  <c:v>105000</c:v>
                </c:pt>
                <c:pt idx="976">
                  <c:v>106000</c:v>
                </c:pt>
                <c:pt idx="977">
                  <c:v>110000</c:v>
                </c:pt>
                <c:pt idx="978">
                  <c:v>120000</c:v>
                </c:pt>
                <c:pt idx="979">
                  <c:v>124000</c:v>
                </c:pt>
                <c:pt idx="980">
                  <c:v>150000</c:v>
                </c:pt>
                <c:pt idx="981">
                  <c:v>172000</c:v>
                </c:pt>
                <c:pt idx="982">
                  <c:v>46000</c:v>
                </c:pt>
                <c:pt idx="983">
                  <c:v>47400</c:v>
                </c:pt>
                <c:pt idx="984">
                  <c:v>54000</c:v>
                </c:pt>
                <c:pt idx="985">
                  <c:v>55000</c:v>
                </c:pt>
                <c:pt idx="986">
                  <c:v>57000</c:v>
                </c:pt>
                <c:pt idx="987">
                  <c:v>60000</c:v>
                </c:pt>
                <c:pt idx="988">
                  <c:v>60000</c:v>
                </c:pt>
                <c:pt idx="989">
                  <c:v>62000</c:v>
                </c:pt>
                <c:pt idx="990">
                  <c:v>62000</c:v>
                </c:pt>
                <c:pt idx="991">
                  <c:v>62000</c:v>
                </c:pt>
                <c:pt idx="992">
                  <c:v>62000</c:v>
                </c:pt>
                <c:pt idx="993">
                  <c:v>65000</c:v>
                </c:pt>
                <c:pt idx="994">
                  <c:v>65000</c:v>
                </c:pt>
                <c:pt idx="995">
                  <c:v>67000</c:v>
                </c:pt>
                <c:pt idx="996">
                  <c:v>67000</c:v>
                </c:pt>
                <c:pt idx="997">
                  <c:v>67500</c:v>
                </c:pt>
                <c:pt idx="998">
                  <c:v>69200</c:v>
                </c:pt>
                <c:pt idx="999">
                  <c:v>70000</c:v>
                </c:pt>
                <c:pt idx="1000">
                  <c:v>70000</c:v>
                </c:pt>
                <c:pt idx="1001">
                  <c:v>70000</c:v>
                </c:pt>
                <c:pt idx="1002">
                  <c:v>70000</c:v>
                </c:pt>
                <c:pt idx="1003">
                  <c:v>70000</c:v>
                </c:pt>
                <c:pt idx="1004">
                  <c:v>72000</c:v>
                </c:pt>
                <c:pt idx="1005">
                  <c:v>73000</c:v>
                </c:pt>
                <c:pt idx="1006">
                  <c:v>75000</c:v>
                </c:pt>
                <c:pt idx="1007">
                  <c:v>75000</c:v>
                </c:pt>
                <c:pt idx="1008">
                  <c:v>76900</c:v>
                </c:pt>
                <c:pt idx="1009">
                  <c:v>77000</c:v>
                </c:pt>
                <c:pt idx="1010">
                  <c:v>78000</c:v>
                </c:pt>
                <c:pt idx="1011">
                  <c:v>80000</c:v>
                </c:pt>
                <c:pt idx="1012">
                  <c:v>80000</c:v>
                </c:pt>
                <c:pt idx="1013">
                  <c:v>80000</c:v>
                </c:pt>
                <c:pt idx="1014">
                  <c:v>82000</c:v>
                </c:pt>
                <c:pt idx="1015">
                  <c:v>84000</c:v>
                </c:pt>
                <c:pt idx="1016">
                  <c:v>84000</c:v>
                </c:pt>
                <c:pt idx="1017">
                  <c:v>84700</c:v>
                </c:pt>
                <c:pt idx="1018">
                  <c:v>85000</c:v>
                </c:pt>
                <c:pt idx="1019">
                  <c:v>90000</c:v>
                </c:pt>
                <c:pt idx="1020">
                  <c:v>90000</c:v>
                </c:pt>
                <c:pt idx="1021">
                  <c:v>90000</c:v>
                </c:pt>
                <c:pt idx="1022">
                  <c:v>102000</c:v>
                </c:pt>
                <c:pt idx="1023">
                  <c:v>120000</c:v>
                </c:pt>
                <c:pt idx="1024">
                  <c:v>130000</c:v>
                </c:pt>
                <c:pt idx="1025">
                  <c:v>156000</c:v>
                </c:pt>
                <c:pt idx="1026">
                  <c:v>35000</c:v>
                </c:pt>
                <c:pt idx="1027">
                  <c:v>40700</c:v>
                </c:pt>
                <c:pt idx="1028">
                  <c:v>43000</c:v>
                </c:pt>
                <c:pt idx="1029">
                  <c:v>44000</c:v>
                </c:pt>
                <c:pt idx="1030">
                  <c:v>45500</c:v>
                </c:pt>
                <c:pt idx="1031">
                  <c:v>54500</c:v>
                </c:pt>
                <c:pt idx="1032">
                  <c:v>55000</c:v>
                </c:pt>
                <c:pt idx="1033">
                  <c:v>56000</c:v>
                </c:pt>
                <c:pt idx="1034">
                  <c:v>56400</c:v>
                </c:pt>
                <c:pt idx="1035">
                  <c:v>59000</c:v>
                </c:pt>
                <c:pt idx="1036">
                  <c:v>62000</c:v>
                </c:pt>
                <c:pt idx="1037">
                  <c:v>62000</c:v>
                </c:pt>
                <c:pt idx="1038">
                  <c:v>64000</c:v>
                </c:pt>
                <c:pt idx="1039">
                  <c:v>65000</c:v>
                </c:pt>
                <c:pt idx="1040">
                  <c:v>65000</c:v>
                </c:pt>
                <c:pt idx="1041">
                  <c:v>66000</c:v>
                </c:pt>
                <c:pt idx="1042">
                  <c:v>68000</c:v>
                </c:pt>
                <c:pt idx="1043">
                  <c:v>68500</c:v>
                </c:pt>
                <c:pt idx="1044">
                  <c:v>70000</c:v>
                </c:pt>
                <c:pt idx="1045">
                  <c:v>70000</c:v>
                </c:pt>
                <c:pt idx="1046">
                  <c:v>70000</c:v>
                </c:pt>
                <c:pt idx="1047">
                  <c:v>70000</c:v>
                </c:pt>
                <c:pt idx="1048">
                  <c:v>70000</c:v>
                </c:pt>
                <c:pt idx="1049">
                  <c:v>70000</c:v>
                </c:pt>
                <c:pt idx="1050">
                  <c:v>73000</c:v>
                </c:pt>
                <c:pt idx="1051">
                  <c:v>74000</c:v>
                </c:pt>
                <c:pt idx="1052">
                  <c:v>75000</c:v>
                </c:pt>
                <c:pt idx="1053">
                  <c:v>80000</c:v>
                </c:pt>
                <c:pt idx="1054">
                  <c:v>80000</c:v>
                </c:pt>
                <c:pt idx="1055">
                  <c:v>80000</c:v>
                </c:pt>
                <c:pt idx="1056">
                  <c:v>80000</c:v>
                </c:pt>
                <c:pt idx="1057">
                  <c:v>83000</c:v>
                </c:pt>
                <c:pt idx="1058">
                  <c:v>83000</c:v>
                </c:pt>
                <c:pt idx="1059">
                  <c:v>85000</c:v>
                </c:pt>
                <c:pt idx="1060">
                  <c:v>87550</c:v>
                </c:pt>
                <c:pt idx="1061">
                  <c:v>89570</c:v>
                </c:pt>
                <c:pt idx="1062">
                  <c:v>90000</c:v>
                </c:pt>
                <c:pt idx="1063">
                  <c:v>90000</c:v>
                </c:pt>
                <c:pt idx="1064">
                  <c:v>92000</c:v>
                </c:pt>
                <c:pt idx="1065">
                  <c:v>92000</c:v>
                </c:pt>
                <c:pt idx="1066">
                  <c:v>95000</c:v>
                </c:pt>
                <c:pt idx="1067">
                  <c:v>99000</c:v>
                </c:pt>
                <c:pt idx="1068">
                  <c:v>100000</c:v>
                </c:pt>
                <c:pt idx="1069">
                  <c:v>100000</c:v>
                </c:pt>
                <c:pt idx="1070">
                  <c:v>110000</c:v>
                </c:pt>
                <c:pt idx="1071">
                  <c:v>130000</c:v>
                </c:pt>
                <c:pt idx="1072">
                  <c:v>130000</c:v>
                </c:pt>
                <c:pt idx="1073">
                  <c:v>200000</c:v>
                </c:pt>
                <c:pt idx="1074">
                  <c:v>56000</c:v>
                </c:pt>
                <c:pt idx="1075">
                  <c:v>60000</c:v>
                </c:pt>
                <c:pt idx="1076">
                  <c:v>60000</c:v>
                </c:pt>
                <c:pt idx="1077">
                  <c:v>62400</c:v>
                </c:pt>
                <c:pt idx="1078">
                  <c:v>64000</c:v>
                </c:pt>
                <c:pt idx="1079">
                  <c:v>65000</c:v>
                </c:pt>
                <c:pt idx="1080">
                  <c:v>70000</c:v>
                </c:pt>
                <c:pt idx="1081">
                  <c:v>70000</c:v>
                </c:pt>
                <c:pt idx="1082">
                  <c:v>70500</c:v>
                </c:pt>
                <c:pt idx="1083">
                  <c:v>75000</c:v>
                </c:pt>
                <c:pt idx="1084">
                  <c:v>75000</c:v>
                </c:pt>
                <c:pt idx="1085">
                  <c:v>75000</c:v>
                </c:pt>
                <c:pt idx="1086">
                  <c:v>75000</c:v>
                </c:pt>
                <c:pt idx="1087">
                  <c:v>76000</c:v>
                </c:pt>
                <c:pt idx="1088">
                  <c:v>78000</c:v>
                </c:pt>
                <c:pt idx="1089">
                  <c:v>80000</c:v>
                </c:pt>
                <c:pt idx="1090">
                  <c:v>80000</c:v>
                </c:pt>
                <c:pt idx="1091">
                  <c:v>82000</c:v>
                </c:pt>
                <c:pt idx="1092">
                  <c:v>85000</c:v>
                </c:pt>
                <c:pt idx="1093">
                  <c:v>87000</c:v>
                </c:pt>
                <c:pt idx="1094">
                  <c:v>93000</c:v>
                </c:pt>
                <c:pt idx="1095">
                  <c:v>108000</c:v>
                </c:pt>
                <c:pt idx="1096">
                  <c:v>108000</c:v>
                </c:pt>
                <c:pt idx="1097">
                  <c:v>110000</c:v>
                </c:pt>
                <c:pt idx="1098">
                  <c:v>120000</c:v>
                </c:pt>
                <c:pt idx="1099">
                  <c:v>122000</c:v>
                </c:pt>
                <c:pt idx="1100">
                  <c:v>130000</c:v>
                </c:pt>
                <c:pt idx="1101">
                  <c:v>180000</c:v>
                </c:pt>
                <c:pt idx="1102">
                  <c:v>50000</c:v>
                </c:pt>
                <c:pt idx="1103">
                  <c:v>54000</c:v>
                </c:pt>
                <c:pt idx="1104">
                  <c:v>54000</c:v>
                </c:pt>
                <c:pt idx="1105">
                  <c:v>57000</c:v>
                </c:pt>
                <c:pt idx="1106">
                  <c:v>57000</c:v>
                </c:pt>
                <c:pt idx="1107">
                  <c:v>60000</c:v>
                </c:pt>
                <c:pt idx="1108">
                  <c:v>60000</c:v>
                </c:pt>
                <c:pt idx="1109">
                  <c:v>65000</c:v>
                </c:pt>
                <c:pt idx="1110">
                  <c:v>70000</c:v>
                </c:pt>
                <c:pt idx="1111">
                  <c:v>72000</c:v>
                </c:pt>
                <c:pt idx="1112">
                  <c:v>72000</c:v>
                </c:pt>
                <c:pt idx="1113">
                  <c:v>72000</c:v>
                </c:pt>
                <c:pt idx="1114">
                  <c:v>75000</c:v>
                </c:pt>
                <c:pt idx="1115">
                  <c:v>77000</c:v>
                </c:pt>
                <c:pt idx="1116">
                  <c:v>78000</c:v>
                </c:pt>
                <c:pt idx="1117">
                  <c:v>80000</c:v>
                </c:pt>
                <c:pt idx="1118">
                  <c:v>80000</c:v>
                </c:pt>
                <c:pt idx="1119">
                  <c:v>81000</c:v>
                </c:pt>
                <c:pt idx="1120">
                  <c:v>85000</c:v>
                </c:pt>
                <c:pt idx="1121">
                  <c:v>85000</c:v>
                </c:pt>
                <c:pt idx="1122">
                  <c:v>88000</c:v>
                </c:pt>
                <c:pt idx="1123">
                  <c:v>89000</c:v>
                </c:pt>
                <c:pt idx="1124">
                  <c:v>90000</c:v>
                </c:pt>
                <c:pt idx="1125">
                  <c:v>90000</c:v>
                </c:pt>
                <c:pt idx="1126">
                  <c:v>90000</c:v>
                </c:pt>
                <c:pt idx="1127">
                  <c:v>90000</c:v>
                </c:pt>
                <c:pt idx="1128">
                  <c:v>95000</c:v>
                </c:pt>
                <c:pt idx="1129">
                  <c:v>100000</c:v>
                </c:pt>
                <c:pt idx="1130">
                  <c:v>135000</c:v>
                </c:pt>
                <c:pt idx="1131">
                  <c:v>160000</c:v>
                </c:pt>
                <c:pt idx="1132">
                  <c:v>250000</c:v>
                </c:pt>
                <c:pt idx="1133">
                  <c:v>36000</c:v>
                </c:pt>
                <c:pt idx="1134">
                  <c:v>50000</c:v>
                </c:pt>
                <c:pt idx="1135">
                  <c:v>58800</c:v>
                </c:pt>
                <c:pt idx="1136">
                  <c:v>68000</c:v>
                </c:pt>
                <c:pt idx="1137">
                  <c:v>72000</c:v>
                </c:pt>
                <c:pt idx="1138">
                  <c:v>75000</c:v>
                </c:pt>
                <c:pt idx="1139">
                  <c:v>78000</c:v>
                </c:pt>
                <c:pt idx="1140">
                  <c:v>80000</c:v>
                </c:pt>
                <c:pt idx="1141">
                  <c:v>93000</c:v>
                </c:pt>
                <c:pt idx="1142">
                  <c:v>95500</c:v>
                </c:pt>
                <c:pt idx="1143">
                  <c:v>99000</c:v>
                </c:pt>
                <c:pt idx="1144">
                  <c:v>100000</c:v>
                </c:pt>
                <c:pt idx="1145">
                  <c:v>120000</c:v>
                </c:pt>
                <c:pt idx="1146">
                  <c:v>123600</c:v>
                </c:pt>
                <c:pt idx="1147">
                  <c:v>36000</c:v>
                </c:pt>
                <c:pt idx="1148">
                  <c:v>42000</c:v>
                </c:pt>
                <c:pt idx="1149">
                  <c:v>46000</c:v>
                </c:pt>
                <c:pt idx="1150">
                  <c:v>47500</c:v>
                </c:pt>
                <c:pt idx="1151">
                  <c:v>53000</c:v>
                </c:pt>
                <c:pt idx="1152">
                  <c:v>55000</c:v>
                </c:pt>
                <c:pt idx="1153">
                  <c:v>65000</c:v>
                </c:pt>
                <c:pt idx="1154">
                  <c:v>66000</c:v>
                </c:pt>
                <c:pt idx="1155">
                  <c:v>70000</c:v>
                </c:pt>
                <c:pt idx="1156">
                  <c:v>70000</c:v>
                </c:pt>
                <c:pt idx="1157">
                  <c:v>75000</c:v>
                </c:pt>
                <c:pt idx="1158">
                  <c:v>75000</c:v>
                </c:pt>
                <c:pt idx="1159">
                  <c:v>80000</c:v>
                </c:pt>
                <c:pt idx="1160">
                  <c:v>80000</c:v>
                </c:pt>
                <c:pt idx="1161">
                  <c:v>80000</c:v>
                </c:pt>
                <c:pt idx="1162">
                  <c:v>95000</c:v>
                </c:pt>
                <c:pt idx="1163">
                  <c:v>95000</c:v>
                </c:pt>
                <c:pt idx="1164">
                  <c:v>95000</c:v>
                </c:pt>
                <c:pt idx="1165">
                  <c:v>95000</c:v>
                </c:pt>
                <c:pt idx="1166">
                  <c:v>57600</c:v>
                </c:pt>
                <c:pt idx="1167">
                  <c:v>64000</c:v>
                </c:pt>
                <c:pt idx="1168">
                  <c:v>70000</c:v>
                </c:pt>
                <c:pt idx="1169">
                  <c:v>72000</c:v>
                </c:pt>
                <c:pt idx="1170">
                  <c:v>72000</c:v>
                </c:pt>
                <c:pt idx="1171">
                  <c:v>79000</c:v>
                </c:pt>
                <c:pt idx="1172">
                  <c:v>82000</c:v>
                </c:pt>
                <c:pt idx="1173">
                  <c:v>83000</c:v>
                </c:pt>
                <c:pt idx="1174">
                  <c:v>105000</c:v>
                </c:pt>
                <c:pt idx="1175">
                  <c:v>115000</c:v>
                </c:pt>
                <c:pt idx="1176">
                  <c:v>45000</c:v>
                </c:pt>
                <c:pt idx="1177">
                  <c:v>60000</c:v>
                </c:pt>
                <c:pt idx="1178">
                  <c:v>68000</c:v>
                </c:pt>
                <c:pt idx="1179">
                  <c:v>72000</c:v>
                </c:pt>
                <c:pt idx="1180">
                  <c:v>75000</c:v>
                </c:pt>
                <c:pt idx="1181">
                  <c:v>76000</c:v>
                </c:pt>
                <c:pt idx="1182">
                  <c:v>78500</c:v>
                </c:pt>
                <c:pt idx="1183">
                  <c:v>95000</c:v>
                </c:pt>
                <c:pt idx="1184">
                  <c:v>42000</c:v>
                </c:pt>
                <c:pt idx="1185">
                  <c:v>52000</c:v>
                </c:pt>
                <c:pt idx="1186">
                  <c:v>55000</c:v>
                </c:pt>
                <c:pt idx="1187">
                  <c:v>55000</c:v>
                </c:pt>
                <c:pt idx="1188">
                  <c:v>70000</c:v>
                </c:pt>
                <c:pt idx="1189">
                  <c:v>75000</c:v>
                </c:pt>
                <c:pt idx="1190">
                  <c:v>77000</c:v>
                </c:pt>
                <c:pt idx="1191">
                  <c:v>90000</c:v>
                </c:pt>
                <c:pt idx="1192">
                  <c:v>90000</c:v>
                </c:pt>
                <c:pt idx="1193">
                  <c:v>93000</c:v>
                </c:pt>
                <c:pt idx="1194">
                  <c:v>200000</c:v>
                </c:pt>
                <c:pt idx="1195">
                  <c:v>68500</c:v>
                </c:pt>
                <c:pt idx="1196">
                  <c:v>70000</c:v>
                </c:pt>
                <c:pt idx="1197">
                  <c:v>70000</c:v>
                </c:pt>
                <c:pt idx="1198">
                  <c:v>80000</c:v>
                </c:pt>
                <c:pt idx="1199">
                  <c:v>80000</c:v>
                </c:pt>
                <c:pt idx="1200">
                  <c:v>82000</c:v>
                </c:pt>
                <c:pt idx="1201">
                  <c:v>85000</c:v>
                </c:pt>
                <c:pt idx="1202">
                  <c:v>90000</c:v>
                </c:pt>
                <c:pt idx="1203">
                  <c:v>46000</c:v>
                </c:pt>
                <c:pt idx="1204">
                  <c:v>70000</c:v>
                </c:pt>
                <c:pt idx="1205">
                  <c:v>75000</c:v>
                </c:pt>
                <c:pt idx="1206">
                  <c:v>30000</c:v>
                </c:pt>
                <c:pt idx="1207">
                  <c:v>68500</c:v>
                </c:pt>
                <c:pt idx="1208">
                  <c:v>75000</c:v>
                </c:pt>
                <c:pt idx="1209">
                  <c:v>110000</c:v>
                </c:pt>
                <c:pt idx="1210">
                  <c:v>57000</c:v>
                </c:pt>
                <c:pt idx="1211">
                  <c:v>67000</c:v>
                </c:pt>
                <c:pt idx="1212">
                  <c:v>28800</c:v>
                </c:pt>
                <c:pt idx="1213">
                  <c:v>60000</c:v>
                </c:pt>
                <c:pt idx="1214">
                  <c:v>100000</c:v>
                </c:pt>
                <c:pt idx="1215">
                  <c:v>50000</c:v>
                </c:pt>
                <c:pt idx="1216">
                  <c:v>75000</c:v>
                </c:pt>
                <c:pt idx="1217">
                  <c:v>110000</c:v>
                </c:pt>
                <c:pt idx="1218">
                  <c:v>75000</c:v>
                </c:pt>
                <c:pt idx="1219">
                  <c:v>110000</c:v>
                </c:pt>
                <c:pt idx="1220">
                  <c:v>69000</c:v>
                </c:pt>
                <c:pt idx="1221">
                  <c:v>55000</c:v>
                </c:pt>
                <c:pt idx="1222">
                  <c:v>70000</c:v>
                </c:pt>
                <c:pt idx="1223">
                  <c:v>70000</c:v>
                </c:pt>
              </c:numCache>
            </c:numRef>
          </c:yVal>
          <c:smooth val="0"/>
          <c:extLst>
            <c:ext xmlns:c16="http://schemas.microsoft.com/office/drawing/2014/chart" uri="{C3380CC4-5D6E-409C-BE32-E72D297353CC}">
              <c16:uniqueId val="{00000000-8840-4ABD-B5B2-39516B209A7F}"/>
            </c:ext>
          </c:extLst>
        </c:ser>
        <c:dLbls>
          <c:showLegendKey val="0"/>
          <c:showVal val="0"/>
          <c:showCatName val="0"/>
          <c:showSerName val="0"/>
          <c:showPercent val="0"/>
          <c:showBubbleSize val="0"/>
        </c:dLbls>
        <c:axId val="155032719"/>
        <c:axId val="155034799"/>
      </c:scatterChart>
      <c:valAx>
        <c:axId val="155032719"/>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Anos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034799"/>
        <c:crosses val="autoZero"/>
        <c:crossBetween val="midCat"/>
      </c:valAx>
      <c:valAx>
        <c:axId val="15503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Salário</a:t>
                </a:r>
                <a:r>
                  <a:rPr lang="pt-BR" baseline="0"/>
                  <a:t> bruto anual</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03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Gráfico de dispersão para as variáveis X: Anos de experiência e Y: Salário bruto anual.</a:t>
            </a:r>
            <a:endParaRPr lang="pt-BR"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'Total years of experience x sal'!$O$2:$O$1235</c:f>
              <c:numCache>
                <c:formatCode>General</c:formatCode>
                <c:ptCount val="1234"/>
                <c:pt idx="0">
                  <c:v>0</c:v>
                </c:pt>
                <c:pt idx="1">
                  <c:v>0</c:v>
                </c:pt>
                <c:pt idx="2">
                  <c:v>0</c:v>
                </c:pt>
                <c:pt idx="3">
                  <c:v>0</c:v>
                </c:pt>
                <c:pt idx="4">
                  <c:v>0</c:v>
                </c:pt>
                <c:pt idx="5">
                  <c:v>0</c:v>
                </c:pt>
                <c:pt idx="6">
                  <c:v>0.5</c:v>
                </c:pt>
                <c:pt idx="7">
                  <c:v>0.8</c:v>
                </c:pt>
                <c:pt idx="8">
                  <c:v>0.8</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formatCode="0.00">
                  <c:v>1.5</c:v>
                </c:pt>
                <c:pt idx="40">
                  <c:v>1.5</c:v>
                </c:pt>
                <c:pt idx="41">
                  <c:v>1.5</c:v>
                </c:pt>
                <c:pt idx="42">
                  <c:v>1.5</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2.5</c:v>
                </c:pt>
                <c:pt idx="101">
                  <c:v>2.5</c:v>
                </c:pt>
                <c:pt idx="102">
                  <c:v>2.5</c:v>
                </c:pt>
                <c:pt idx="103">
                  <c:v>2.5</c:v>
                </c:pt>
                <c:pt idx="104">
                  <c:v>2.5</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3.5</c:v>
                </c:pt>
                <c:pt idx="172">
                  <c:v>3.5</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4.5</c:v>
                </c:pt>
                <c:pt idx="254">
                  <c:v>4.5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5.5</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6.5</c:v>
                </c:pt>
                <c:pt idx="493">
                  <c:v>7</c:v>
                </c:pt>
                <c:pt idx="494">
                  <c:v>7</c:v>
                </c:pt>
                <c:pt idx="495">
                  <c:v>7</c:v>
                </c:pt>
                <c:pt idx="496">
                  <c:v>7</c:v>
                </c:pt>
                <c:pt idx="497">
                  <c:v>7</c:v>
                </c:pt>
                <c:pt idx="498">
                  <c:v>7</c:v>
                </c:pt>
                <c:pt idx="499">
                  <c:v>7</c:v>
                </c:pt>
                <c:pt idx="500">
                  <c:v>7</c:v>
                </c:pt>
                <c:pt idx="501">
                  <c:v>7</c:v>
                </c:pt>
                <c:pt idx="502">
                  <c:v>7</c:v>
                </c:pt>
                <c:pt idx="503">
                  <c:v>7</c:v>
                </c:pt>
                <c:pt idx="504">
                  <c:v>7</c:v>
                </c:pt>
                <c:pt idx="505">
                  <c:v>7</c:v>
                </c:pt>
                <c:pt idx="506">
                  <c:v>7</c:v>
                </c:pt>
                <c:pt idx="507">
                  <c:v>7</c:v>
                </c:pt>
                <c:pt idx="508">
                  <c:v>7</c:v>
                </c:pt>
                <c:pt idx="509">
                  <c:v>7</c:v>
                </c:pt>
                <c:pt idx="510">
                  <c:v>7</c:v>
                </c:pt>
                <c:pt idx="511">
                  <c:v>7</c:v>
                </c:pt>
                <c:pt idx="512">
                  <c:v>7</c:v>
                </c:pt>
                <c:pt idx="513">
                  <c:v>7</c:v>
                </c:pt>
                <c:pt idx="514">
                  <c:v>7</c:v>
                </c:pt>
                <c:pt idx="515">
                  <c:v>7</c:v>
                </c:pt>
                <c:pt idx="516">
                  <c:v>7</c:v>
                </c:pt>
                <c:pt idx="517">
                  <c:v>7</c:v>
                </c:pt>
                <c:pt idx="518">
                  <c:v>7</c:v>
                </c:pt>
                <c:pt idx="519">
                  <c:v>7</c:v>
                </c:pt>
                <c:pt idx="520">
                  <c:v>7</c:v>
                </c:pt>
                <c:pt idx="521">
                  <c:v>7</c:v>
                </c:pt>
                <c:pt idx="522">
                  <c:v>7</c:v>
                </c:pt>
                <c:pt idx="523">
                  <c:v>7</c:v>
                </c:pt>
                <c:pt idx="524">
                  <c:v>7</c:v>
                </c:pt>
                <c:pt idx="525">
                  <c:v>7</c:v>
                </c:pt>
                <c:pt idx="526">
                  <c:v>7</c:v>
                </c:pt>
                <c:pt idx="527">
                  <c:v>7</c:v>
                </c:pt>
                <c:pt idx="528">
                  <c:v>7</c:v>
                </c:pt>
                <c:pt idx="529">
                  <c:v>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7</c:v>
                </c:pt>
                <c:pt idx="561">
                  <c:v>7</c:v>
                </c:pt>
                <c:pt idx="562">
                  <c:v>7</c:v>
                </c:pt>
                <c:pt idx="563">
                  <c:v>7</c:v>
                </c:pt>
                <c:pt idx="564">
                  <c:v>7</c:v>
                </c:pt>
                <c:pt idx="565">
                  <c:v>7</c:v>
                </c:pt>
                <c:pt idx="566">
                  <c:v>7</c:v>
                </c:pt>
                <c:pt idx="567">
                  <c:v>7</c:v>
                </c:pt>
                <c:pt idx="568">
                  <c:v>7</c:v>
                </c:pt>
                <c:pt idx="569">
                  <c:v>7</c:v>
                </c:pt>
                <c:pt idx="570">
                  <c:v>7</c:v>
                </c:pt>
                <c:pt idx="571">
                  <c:v>7</c:v>
                </c:pt>
                <c:pt idx="572">
                  <c:v>7</c:v>
                </c:pt>
                <c:pt idx="573">
                  <c:v>7</c:v>
                </c:pt>
                <c:pt idx="574">
                  <c:v>7</c:v>
                </c:pt>
                <c:pt idx="575">
                  <c:v>7</c:v>
                </c:pt>
                <c:pt idx="576">
                  <c:v>7</c:v>
                </c:pt>
                <c:pt idx="577">
                  <c:v>7.5</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8</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11</c:v>
                </c:pt>
                <c:pt idx="869">
                  <c:v>11</c:v>
                </c:pt>
                <c:pt idx="870">
                  <c:v>11</c:v>
                </c:pt>
                <c:pt idx="871">
                  <c:v>11</c:v>
                </c:pt>
                <c:pt idx="872">
                  <c:v>11</c:v>
                </c:pt>
                <c:pt idx="873">
                  <c:v>11</c:v>
                </c:pt>
                <c:pt idx="874">
                  <c:v>11</c:v>
                </c:pt>
                <c:pt idx="875">
                  <c:v>11</c:v>
                </c:pt>
                <c:pt idx="876">
                  <c:v>11</c:v>
                </c:pt>
                <c:pt idx="877">
                  <c:v>11</c:v>
                </c:pt>
                <c:pt idx="878">
                  <c:v>11</c:v>
                </c:pt>
                <c:pt idx="879">
                  <c:v>11</c:v>
                </c:pt>
                <c:pt idx="880">
                  <c:v>11</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11</c:v>
                </c:pt>
                <c:pt idx="896">
                  <c:v>11</c:v>
                </c:pt>
                <c:pt idx="897">
                  <c:v>11</c:v>
                </c:pt>
                <c:pt idx="898">
                  <c:v>11</c:v>
                </c:pt>
                <c:pt idx="899">
                  <c:v>11</c:v>
                </c:pt>
                <c:pt idx="900">
                  <c:v>11</c:v>
                </c:pt>
                <c:pt idx="901">
                  <c:v>11</c:v>
                </c:pt>
                <c:pt idx="902">
                  <c:v>11</c:v>
                </c:pt>
                <c:pt idx="903">
                  <c:v>11</c:v>
                </c:pt>
                <c:pt idx="904">
                  <c:v>11</c:v>
                </c:pt>
                <c:pt idx="905">
                  <c:v>11</c:v>
                </c:pt>
                <c:pt idx="906">
                  <c:v>11</c:v>
                </c:pt>
                <c:pt idx="907">
                  <c:v>11</c:v>
                </c:pt>
                <c:pt idx="908">
                  <c:v>11</c:v>
                </c:pt>
                <c:pt idx="909">
                  <c:v>11</c:v>
                </c:pt>
                <c:pt idx="910">
                  <c:v>11</c:v>
                </c:pt>
                <c:pt idx="911">
                  <c:v>12</c:v>
                </c:pt>
                <c:pt idx="912">
                  <c:v>12</c:v>
                </c:pt>
                <c:pt idx="913">
                  <c:v>12</c:v>
                </c:pt>
                <c:pt idx="914">
                  <c:v>12</c:v>
                </c:pt>
                <c:pt idx="915">
                  <c:v>12</c:v>
                </c:pt>
                <c:pt idx="916">
                  <c:v>12</c:v>
                </c:pt>
                <c:pt idx="917">
                  <c:v>12</c:v>
                </c:pt>
                <c:pt idx="918">
                  <c:v>12</c:v>
                </c:pt>
                <c:pt idx="919">
                  <c:v>12</c:v>
                </c:pt>
                <c:pt idx="920">
                  <c:v>12</c:v>
                </c:pt>
                <c:pt idx="921">
                  <c:v>12</c:v>
                </c:pt>
                <c:pt idx="922">
                  <c:v>12</c:v>
                </c:pt>
                <c:pt idx="923">
                  <c:v>12</c:v>
                </c:pt>
                <c:pt idx="924">
                  <c:v>12</c:v>
                </c:pt>
                <c:pt idx="925">
                  <c:v>12</c:v>
                </c:pt>
                <c:pt idx="926">
                  <c:v>12</c:v>
                </c:pt>
                <c:pt idx="927">
                  <c:v>12</c:v>
                </c:pt>
                <c:pt idx="928">
                  <c:v>12</c:v>
                </c:pt>
                <c:pt idx="929">
                  <c:v>12</c:v>
                </c:pt>
                <c:pt idx="930">
                  <c:v>12</c:v>
                </c:pt>
                <c:pt idx="931">
                  <c:v>12</c:v>
                </c:pt>
                <c:pt idx="932">
                  <c:v>12</c:v>
                </c:pt>
                <c:pt idx="933">
                  <c:v>12</c:v>
                </c:pt>
                <c:pt idx="934">
                  <c:v>12</c:v>
                </c:pt>
                <c:pt idx="935">
                  <c:v>12</c:v>
                </c:pt>
                <c:pt idx="936">
                  <c:v>12</c:v>
                </c:pt>
                <c:pt idx="937">
                  <c:v>12</c:v>
                </c:pt>
                <c:pt idx="938">
                  <c:v>12</c:v>
                </c:pt>
                <c:pt idx="939">
                  <c:v>12</c:v>
                </c:pt>
                <c:pt idx="940">
                  <c:v>12</c:v>
                </c:pt>
                <c:pt idx="941">
                  <c:v>12</c:v>
                </c:pt>
                <c:pt idx="942">
                  <c:v>12</c:v>
                </c:pt>
                <c:pt idx="943">
                  <c:v>12</c:v>
                </c:pt>
                <c:pt idx="944">
                  <c:v>12</c:v>
                </c:pt>
                <c:pt idx="945">
                  <c:v>12</c:v>
                </c:pt>
                <c:pt idx="946">
                  <c:v>12</c:v>
                </c:pt>
                <c:pt idx="947">
                  <c:v>12</c:v>
                </c:pt>
                <c:pt idx="948">
                  <c:v>12</c:v>
                </c:pt>
                <c:pt idx="949">
                  <c:v>12</c:v>
                </c:pt>
                <c:pt idx="950">
                  <c:v>12</c:v>
                </c:pt>
                <c:pt idx="951">
                  <c:v>12</c:v>
                </c:pt>
                <c:pt idx="952">
                  <c:v>12</c:v>
                </c:pt>
                <c:pt idx="953">
                  <c:v>12</c:v>
                </c:pt>
                <c:pt idx="954">
                  <c:v>12</c:v>
                </c:pt>
                <c:pt idx="955">
                  <c:v>12</c:v>
                </c:pt>
                <c:pt idx="956">
                  <c:v>12</c:v>
                </c:pt>
                <c:pt idx="957">
                  <c:v>12</c:v>
                </c:pt>
                <c:pt idx="958">
                  <c:v>12</c:v>
                </c:pt>
                <c:pt idx="959">
                  <c:v>12</c:v>
                </c:pt>
                <c:pt idx="960">
                  <c:v>12</c:v>
                </c:pt>
                <c:pt idx="961">
                  <c:v>12</c:v>
                </c:pt>
                <c:pt idx="962">
                  <c:v>12</c:v>
                </c:pt>
                <c:pt idx="963">
                  <c:v>12</c:v>
                </c:pt>
                <c:pt idx="964">
                  <c:v>12</c:v>
                </c:pt>
                <c:pt idx="965">
                  <c:v>12</c:v>
                </c:pt>
                <c:pt idx="966">
                  <c:v>12</c:v>
                </c:pt>
                <c:pt idx="967">
                  <c:v>12</c:v>
                </c:pt>
                <c:pt idx="968">
                  <c:v>12</c:v>
                </c:pt>
                <c:pt idx="969">
                  <c:v>12</c:v>
                </c:pt>
                <c:pt idx="970">
                  <c:v>12</c:v>
                </c:pt>
                <c:pt idx="971">
                  <c:v>12</c:v>
                </c:pt>
                <c:pt idx="972">
                  <c:v>12</c:v>
                </c:pt>
                <c:pt idx="973">
                  <c:v>12</c:v>
                </c:pt>
                <c:pt idx="974">
                  <c:v>12</c:v>
                </c:pt>
                <c:pt idx="975">
                  <c:v>12</c:v>
                </c:pt>
                <c:pt idx="976">
                  <c:v>12</c:v>
                </c:pt>
                <c:pt idx="977">
                  <c:v>12</c:v>
                </c:pt>
                <c:pt idx="978">
                  <c:v>12</c:v>
                </c:pt>
                <c:pt idx="979">
                  <c:v>13</c:v>
                </c:pt>
                <c:pt idx="980">
                  <c:v>13</c:v>
                </c:pt>
                <c:pt idx="981">
                  <c:v>13</c:v>
                </c:pt>
                <c:pt idx="982">
                  <c:v>13</c:v>
                </c:pt>
                <c:pt idx="983">
                  <c:v>13</c:v>
                </c:pt>
                <c:pt idx="984">
                  <c:v>13</c:v>
                </c:pt>
                <c:pt idx="985">
                  <c:v>13</c:v>
                </c:pt>
                <c:pt idx="986">
                  <c:v>13</c:v>
                </c:pt>
                <c:pt idx="987">
                  <c:v>13</c:v>
                </c:pt>
                <c:pt idx="988">
                  <c:v>13</c:v>
                </c:pt>
                <c:pt idx="989">
                  <c:v>13</c:v>
                </c:pt>
                <c:pt idx="990">
                  <c:v>13</c:v>
                </c:pt>
                <c:pt idx="991">
                  <c:v>13</c:v>
                </c:pt>
                <c:pt idx="992">
                  <c:v>13</c:v>
                </c:pt>
                <c:pt idx="993">
                  <c:v>13</c:v>
                </c:pt>
                <c:pt idx="994">
                  <c:v>13</c:v>
                </c:pt>
                <c:pt idx="995">
                  <c:v>13</c:v>
                </c:pt>
                <c:pt idx="996">
                  <c:v>13</c:v>
                </c:pt>
                <c:pt idx="997">
                  <c:v>13</c:v>
                </c:pt>
                <c:pt idx="998">
                  <c:v>13</c:v>
                </c:pt>
                <c:pt idx="999">
                  <c:v>13</c:v>
                </c:pt>
                <c:pt idx="1000">
                  <c:v>13</c:v>
                </c:pt>
                <c:pt idx="1001">
                  <c:v>13</c:v>
                </c:pt>
                <c:pt idx="1002">
                  <c:v>13</c:v>
                </c:pt>
                <c:pt idx="1003">
                  <c:v>13</c:v>
                </c:pt>
                <c:pt idx="1004">
                  <c:v>13</c:v>
                </c:pt>
                <c:pt idx="1005">
                  <c:v>13</c:v>
                </c:pt>
                <c:pt idx="1006">
                  <c:v>13</c:v>
                </c:pt>
                <c:pt idx="1007">
                  <c:v>13</c:v>
                </c:pt>
                <c:pt idx="1008">
                  <c:v>13</c:v>
                </c:pt>
                <c:pt idx="1009">
                  <c:v>13</c:v>
                </c:pt>
                <c:pt idx="1010">
                  <c:v>13</c:v>
                </c:pt>
                <c:pt idx="1011">
                  <c:v>13</c:v>
                </c:pt>
                <c:pt idx="1012">
                  <c:v>13</c:v>
                </c:pt>
                <c:pt idx="1013">
                  <c:v>13</c:v>
                </c:pt>
                <c:pt idx="1014">
                  <c:v>13</c:v>
                </c:pt>
                <c:pt idx="1015">
                  <c:v>13</c:v>
                </c:pt>
                <c:pt idx="1016">
                  <c:v>13</c:v>
                </c:pt>
                <c:pt idx="1017">
                  <c:v>13</c:v>
                </c:pt>
                <c:pt idx="1018">
                  <c:v>13</c:v>
                </c:pt>
                <c:pt idx="1019">
                  <c:v>13</c:v>
                </c:pt>
                <c:pt idx="1020">
                  <c:v>14</c:v>
                </c:pt>
                <c:pt idx="1021">
                  <c:v>14</c:v>
                </c:pt>
                <c:pt idx="1022">
                  <c:v>14</c:v>
                </c:pt>
                <c:pt idx="1023">
                  <c:v>14</c:v>
                </c:pt>
                <c:pt idx="1024">
                  <c:v>14</c:v>
                </c:pt>
                <c:pt idx="1025">
                  <c:v>14</c:v>
                </c:pt>
                <c:pt idx="1026">
                  <c:v>14</c:v>
                </c:pt>
                <c:pt idx="1027">
                  <c:v>14</c:v>
                </c:pt>
                <c:pt idx="1028">
                  <c:v>14</c:v>
                </c:pt>
                <c:pt idx="1029">
                  <c:v>14</c:v>
                </c:pt>
                <c:pt idx="1030">
                  <c:v>14</c:v>
                </c:pt>
                <c:pt idx="1031">
                  <c:v>14</c:v>
                </c:pt>
                <c:pt idx="1032">
                  <c:v>14</c:v>
                </c:pt>
                <c:pt idx="1033">
                  <c:v>14</c:v>
                </c:pt>
                <c:pt idx="1034">
                  <c:v>14</c:v>
                </c:pt>
                <c:pt idx="1035">
                  <c:v>14</c:v>
                </c:pt>
                <c:pt idx="1036">
                  <c:v>14</c:v>
                </c:pt>
                <c:pt idx="1037">
                  <c:v>14</c:v>
                </c:pt>
                <c:pt idx="1038">
                  <c:v>14</c:v>
                </c:pt>
                <c:pt idx="1039">
                  <c:v>14</c:v>
                </c:pt>
                <c:pt idx="1040">
                  <c:v>14</c:v>
                </c:pt>
                <c:pt idx="1041">
                  <c:v>14</c:v>
                </c:pt>
                <c:pt idx="1042">
                  <c:v>14</c:v>
                </c:pt>
                <c:pt idx="1043">
                  <c:v>14</c:v>
                </c:pt>
                <c:pt idx="1044">
                  <c:v>14</c:v>
                </c:pt>
                <c:pt idx="1045">
                  <c:v>14</c:v>
                </c:pt>
                <c:pt idx="1046">
                  <c:v>14</c:v>
                </c:pt>
                <c:pt idx="1047">
                  <c:v>14</c:v>
                </c:pt>
                <c:pt idx="1048">
                  <c:v>14</c:v>
                </c:pt>
                <c:pt idx="1049">
                  <c:v>14</c:v>
                </c:pt>
                <c:pt idx="1050">
                  <c:v>14</c:v>
                </c:pt>
                <c:pt idx="1051">
                  <c:v>14</c:v>
                </c:pt>
                <c:pt idx="1052">
                  <c:v>14</c:v>
                </c:pt>
                <c:pt idx="1053">
                  <c:v>14</c:v>
                </c:pt>
                <c:pt idx="1054">
                  <c:v>14</c:v>
                </c:pt>
                <c:pt idx="1055">
                  <c:v>14</c:v>
                </c:pt>
                <c:pt idx="1056">
                  <c:v>14</c:v>
                </c:pt>
                <c:pt idx="1057">
                  <c:v>14</c:v>
                </c:pt>
                <c:pt idx="1058">
                  <c:v>14</c:v>
                </c:pt>
                <c:pt idx="1059">
                  <c:v>15</c:v>
                </c:pt>
                <c:pt idx="1060">
                  <c:v>15</c:v>
                </c:pt>
                <c:pt idx="1061">
                  <c:v>15</c:v>
                </c:pt>
                <c:pt idx="1062">
                  <c:v>15</c:v>
                </c:pt>
                <c:pt idx="1063">
                  <c:v>15</c:v>
                </c:pt>
                <c:pt idx="1064">
                  <c:v>15</c:v>
                </c:pt>
                <c:pt idx="1065">
                  <c:v>15</c:v>
                </c:pt>
                <c:pt idx="1066">
                  <c:v>15</c:v>
                </c:pt>
                <c:pt idx="1067">
                  <c:v>15</c:v>
                </c:pt>
                <c:pt idx="1068">
                  <c:v>15</c:v>
                </c:pt>
                <c:pt idx="1069">
                  <c:v>15</c:v>
                </c:pt>
                <c:pt idx="1070">
                  <c:v>15</c:v>
                </c:pt>
                <c:pt idx="1071">
                  <c:v>15</c:v>
                </c:pt>
                <c:pt idx="1072">
                  <c:v>15</c:v>
                </c:pt>
                <c:pt idx="1073">
                  <c:v>15</c:v>
                </c:pt>
                <c:pt idx="1074">
                  <c:v>15</c:v>
                </c:pt>
                <c:pt idx="1075">
                  <c:v>15</c:v>
                </c:pt>
                <c:pt idx="1076">
                  <c:v>15</c:v>
                </c:pt>
                <c:pt idx="1077">
                  <c:v>15</c:v>
                </c:pt>
                <c:pt idx="1078">
                  <c:v>15</c:v>
                </c:pt>
                <c:pt idx="1079">
                  <c:v>15</c:v>
                </c:pt>
                <c:pt idx="1080">
                  <c:v>15</c:v>
                </c:pt>
                <c:pt idx="1081">
                  <c:v>15</c:v>
                </c:pt>
                <c:pt idx="1082">
                  <c:v>15</c:v>
                </c:pt>
                <c:pt idx="1083">
                  <c:v>15</c:v>
                </c:pt>
                <c:pt idx="1084">
                  <c:v>15</c:v>
                </c:pt>
                <c:pt idx="1085">
                  <c:v>15</c:v>
                </c:pt>
                <c:pt idx="1086">
                  <c:v>15</c:v>
                </c:pt>
                <c:pt idx="1087">
                  <c:v>15</c:v>
                </c:pt>
                <c:pt idx="1088">
                  <c:v>15</c:v>
                </c:pt>
                <c:pt idx="1089">
                  <c:v>15</c:v>
                </c:pt>
                <c:pt idx="1090">
                  <c:v>15</c:v>
                </c:pt>
                <c:pt idx="1091">
                  <c:v>15</c:v>
                </c:pt>
                <c:pt idx="1092">
                  <c:v>15</c:v>
                </c:pt>
                <c:pt idx="1093">
                  <c:v>15</c:v>
                </c:pt>
                <c:pt idx="1094">
                  <c:v>15</c:v>
                </c:pt>
                <c:pt idx="1095">
                  <c:v>15</c:v>
                </c:pt>
                <c:pt idx="1096">
                  <c:v>15</c:v>
                </c:pt>
                <c:pt idx="1097">
                  <c:v>15</c:v>
                </c:pt>
                <c:pt idx="1098">
                  <c:v>15</c:v>
                </c:pt>
                <c:pt idx="1099">
                  <c:v>15</c:v>
                </c:pt>
                <c:pt idx="1100">
                  <c:v>15</c:v>
                </c:pt>
                <c:pt idx="1101">
                  <c:v>15</c:v>
                </c:pt>
                <c:pt idx="1102">
                  <c:v>15</c:v>
                </c:pt>
                <c:pt idx="1103">
                  <c:v>15</c:v>
                </c:pt>
                <c:pt idx="1104">
                  <c:v>15</c:v>
                </c:pt>
                <c:pt idx="1105">
                  <c:v>15</c:v>
                </c:pt>
                <c:pt idx="1106">
                  <c:v>15</c:v>
                </c:pt>
                <c:pt idx="1107">
                  <c:v>15</c:v>
                </c:pt>
                <c:pt idx="1108">
                  <c:v>15</c:v>
                </c:pt>
                <c:pt idx="1109">
                  <c:v>15</c:v>
                </c:pt>
                <c:pt idx="1110">
                  <c:v>15</c:v>
                </c:pt>
                <c:pt idx="1111">
                  <c:v>15</c:v>
                </c:pt>
                <c:pt idx="1112">
                  <c:v>15</c:v>
                </c:pt>
                <c:pt idx="1113">
                  <c:v>15</c:v>
                </c:pt>
                <c:pt idx="1114">
                  <c:v>15</c:v>
                </c:pt>
                <c:pt idx="1115">
                  <c:v>15</c:v>
                </c:pt>
                <c:pt idx="1116">
                  <c:v>15</c:v>
                </c:pt>
                <c:pt idx="1117">
                  <c:v>15</c:v>
                </c:pt>
                <c:pt idx="1118">
                  <c:v>15</c:v>
                </c:pt>
                <c:pt idx="1119">
                  <c:v>15</c:v>
                </c:pt>
                <c:pt idx="1120">
                  <c:v>15</c:v>
                </c:pt>
                <c:pt idx="1121">
                  <c:v>15</c:v>
                </c:pt>
                <c:pt idx="1122">
                  <c:v>15</c:v>
                </c:pt>
                <c:pt idx="1123">
                  <c:v>16</c:v>
                </c:pt>
                <c:pt idx="1124">
                  <c:v>16</c:v>
                </c:pt>
                <c:pt idx="1125">
                  <c:v>16</c:v>
                </c:pt>
                <c:pt idx="1126">
                  <c:v>16</c:v>
                </c:pt>
                <c:pt idx="1127">
                  <c:v>16</c:v>
                </c:pt>
                <c:pt idx="1128">
                  <c:v>16</c:v>
                </c:pt>
                <c:pt idx="1129">
                  <c:v>16</c:v>
                </c:pt>
                <c:pt idx="1130">
                  <c:v>16</c:v>
                </c:pt>
                <c:pt idx="1131">
                  <c:v>16</c:v>
                </c:pt>
                <c:pt idx="1132">
                  <c:v>16</c:v>
                </c:pt>
                <c:pt idx="1133">
                  <c:v>16</c:v>
                </c:pt>
                <c:pt idx="1134">
                  <c:v>16</c:v>
                </c:pt>
                <c:pt idx="1135">
                  <c:v>16</c:v>
                </c:pt>
                <c:pt idx="1136">
                  <c:v>16</c:v>
                </c:pt>
                <c:pt idx="1137">
                  <c:v>16</c:v>
                </c:pt>
                <c:pt idx="1138">
                  <c:v>16</c:v>
                </c:pt>
                <c:pt idx="1139">
                  <c:v>16</c:v>
                </c:pt>
                <c:pt idx="1140">
                  <c:v>16</c:v>
                </c:pt>
                <c:pt idx="1141">
                  <c:v>16</c:v>
                </c:pt>
                <c:pt idx="1142">
                  <c:v>16</c:v>
                </c:pt>
                <c:pt idx="1143">
                  <c:v>17</c:v>
                </c:pt>
                <c:pt idx="1144">
                  <c:v>17</c:v>
                </c:pt>
                <c:pt idx="1145">
                  <c:v>17</c:v>
                </c:pt>
                <c:pt idx="1146">
                  <c:v>17</c:v>
                </c:pt>
                <c:pt idx="1147">
                  <c:v>17</c:v>
                </c:pt>
                <c:pt idx="1148">
                  <c:v>17</c:v>
                </c:pt>
                <c:pt idx="1149">
                  <c:v>17</c:v>
                </c:pt>
                <c:pt idx="1150">
                  <c:v>17</c:v>
                </c:pt>
                <c:pt idx="1151">
                  <c:v>17</c:v>
                </c:pt>
                <c:pt idx="1152">
                  <c:v>17</c:v>
                </c:pt>
                <c:pt idx="1153">
                  <c:v>17</c:v>
                </c:pt>
                <c:pt idx="1154">
                  <c:v>17</c:v>
                </c:pt>
                <c:pt idx="1155">
                  <c:v>18</c:v>
                </c:pt>
                <c:pt idx="1156">
                  <c:v>18</c:v>
                </c:pt>
                <c:pt idx="1157">
                  <c:v>18</c:v>
                </c:pt>
                <c:pt idx="1158">
                  <c:v>18</c:v>
                </c:pt>
                <c:pt idx="1159">
                  <c:v>18</c:v>
                </c:pt>
                <c:pt idx="1160">
                  <c:v>18</c:v>
                </c:pt>
                <c:pt idx="1161">
                  <c:v>18</c:v>
                </c:pt>
                <c:pt idx="1162">
                  <c:v>18</c:v>
                </c:pt>
                <c:pt idx="1163">
                  <c:v>18</c:v>
                </c:pt>
                <c:pt idx="1164">
                  <c:v>18</c:v>
                </c:pt>
                <c:pt idx="1165">
                  <c:v>18</c:v>
                </c:pt>
                <c:pt idx="1166">
                  <c:v>18</c:v>
                </c:pt>
                <c:pt idx="1167">
                  <c:v>18</c:v>
                </c:pt>
                <c:pt idx="1168">
                  <c:v>18</c:v>
                </c:pt>
                <c:pt idx="1169">
                  <c:v>18</c:v>
                </c:pt>
                <c:pt idx="1170">
                  <c:v>19</c:v>
                </c:pt>
                <c:pt idx="1171">
                  <c:v>19</c:v>
                </c:pt>
                <c:pt idx="1172">
                  <c:v>19</c:v>
                </c:pt>
                <c:pt idx="1173">
                  <c:v>19</c:v>
                </c:pt>
                <c:pt idx="1174">
                  <c:v>19</c:v>
                </c:pt>
                <c:pt idx="1175">
                  <c:v>19</c:v>
                </c:pt>
                <c:pt idx="1176">
                  <c:v>19</c:v>
                </c:pt>
                <c:pt idx="1177">
                  <c:v>20</c:v>
                </c:pt>
                <c:pt idx="1178">
                  <c:v>20</c:v>
                </c:pt>
                <c:pt idx="1179">
                  <c:v>20</c:v>
                </c:pt>
                <c:pt idx="1180">
                  <c:v>20</c:v>
                </c:pt>
                <c:pt idx="1181">
                  <c:v>20</c:v>
                </c:pt>
                <c:pt idx="1182">
                  <c:v>20</c:v>
                </c:pt>
                <c:pt idx="1183">
                  <c:v>20</c:v>
                </c:pt>
                <c:pt idx="1184">
                  <c:v>20</c:v>
                </c:pt>
                <c:pt idx="1185">
                  <c:v>20</c:v>
                </c:pt>
                <c:pt idx="1186">
                  <c:v>20</c:v>
                </c:pt>
                <c:pt idx="1187">
                  <c:v>20</c:v>
                </c:pt>
                <c:pt idx="1188">
                  <c:v>20</c:v>
                </c:pt>
                <c:pt idx="1189">
                  <c:v>20</c:v>
                </c:pt>
                <c:pt idx="1190">
                  <c:v>20</c:v>
                </c:pt>
                <c:pt idx="1191">
                  <c:v>20</c:v>
                </c:pt>
                <c:pt idx="1192">
                  <c:v>20</c:v>
                </c:pt>
                <c:pt idx="1193">
                  <c:v>20</c:v>
                </c:pt>
                <c:pt idx="1194">
                  <c:v>20</c:v>
                </c:pt>
                <c:pt idx="1195">
                  <c:v>20</c:v>
                </c:pt>
                <c:pt idx="1196">
                  <c:v>20</c:v>
                </c:pt>
                <c:pt idx="1197">
                  <c:v>20</c:v>
                </c:pt>
                <c:pt idx="1198">
                  <c:v>20</c:v>
                </c:pt>
                <c:pt idx="1199">
                  <c:v>20</c:v>
                </c:pt>
                <c:pt idx="1200">
                  <c:v>20</c:v>
                </c:pt>
                <c:pt idx="1201">
                  <c:v>20</c:v>
                </c:pt>
                <c:pt idx="1202">
                  <c:v>20</c:v>
                </c:pt>
                <c:pt idx="1203">
                  <c:v>20</c:v>
                </c:pt>
                <c:pt idx="1204">
                  <c:v>20</c:v>
                </c:pt>
                <c:pt idx="1205">
                  <c:v>21</c:v>
                </c:pt>
                <c:pt idx="1206">
                  <c:v>21</c:v>
                </c:pt>
                <c:pt idx="1207">
                  <c:v>21</c:v>
                </c:pt>
                <c:pt idx="1208">
                  <c:v>22</c:v>
                </c:pt>
                <c:pt idx="1209">
                  <c:v>22</c:v>
                </c:pt>
                <c:pt idx="1210">
                  <c:v>22</c:v>
                </c:pt>
                <c:pt idx="1211">
                  <c:v>22</c:v>
                </c:pt>
                <c:pt idx="1212">
                  <c:v>22</c:v>
                </c:pt>
                <c:pt idx="1213">
                  <c:v>23</c:v>
                </c:pt>
                <c:pt idx="1214">
                  <c:v>23</c:v>
                </c:pt>
                <c:pt idx="1215">
                  <c:v>24</c:v>
                </c:pt>
                <c:pt idx="1216">
                  <c:v>25</c:v>
                </c:pt>
                <c:pt idx="1217">
                  <c:v>25</c:v>
                </c:pt>
                <c:pt idx="1218">
                  <c:v>25</c:v>
                </c:pt>
                <c:pt idx="1219">
                  <c:v>25</c:v>
                </c:pt>
                <c:pt idx="1220">
                  <c:v>25</c:v>
                </c:pt>
                <c:pt idx="1221">
                  <c:v>25</c:v>
                </c:pt>
                <c:pt idx="1222">
                  <c:v>25</c:v>
                </c:pt>
                <c:pt idx="1223">
                  <c:v>26</c:v>
                </c:pt>
                <c:pt idx="1224">
                  <c:v>27</c:v>
                </c:pt>
                <c:pt idx="1225">
                  <c:v>27</c:v>
                </c:pt>
                <c:pt idx="1226">
                  <c:v>28</c:v>
                </c:pt>
                <c:pt idx="1227">
                  <c:v>29</c:v>
                </c:pt>
                <c:pt idx="1228">
                  <c:v>30</c:v>
                </c:pt>
                <c:pt idx="1229">
                  <c:v>30</c:v>
                </c:pt>
                <c:pt idx="1230">
                  <c:v>30</c:v>
                </c:pt>
                <c:pt idx="1231">
                  <c:v>30</c:v>
                </c:pt>
                <c:pt idx="1232">
                  <c:v>31</c:v>
                </c:pt>
                <c:pt idx="1233">
                  <c:v>40</c:v>
                </c:pt>
              </c:numCache>
            </c:numRef>
          </c:xVal>
          <c:yVal>
            <c:numRef>
              <c:f>'Total years of experience x sal'!$P$2:$P$1235</c:f>
              <c:numCache>
                <c:formatCode>General</c:formatCode>
                <c:ptCount val="1234"/>
                <c:pt idx="0">
                  <c:v>20000</c:v>
                </c:pt>
                <c:pt idx="1">
                  <c:v>22000</c:v>
                </c:pt>
                <c:pt idx="2">
                  <c:v>40000</c:v>
                </c:pt>
                <c:pt idx="3">
                  <c:v>48000</c:v>
                </c:pt>
                <c:pt idx="4">
                  <c:v>50000</c:v>
                </c:pt>
                <c:pt idx="5">
                  <c:v>58000</c:v>
                </c:pt>
                <c:pt idx="6">
                  <c:v>16320</c:v>
                </c:pt>
                <c:pt idx="7">
                  <c:v>11500</c:v>
                </c:pt>
                <c:pt idx="8">
                  <c:v>48000</c:v>
                </c:pt>
                <c:pt idx="9">
                  <c:v>11000</c:v>
                </c:pt>
                <c:pt idx="10">
                  <c:v>12000</c:v>
                </c:pt>
                <c:pt idx="11">
                  <c:v>14400</c:v>
                </c:pt>
                <c:pt idx="12">
                  <c:v>30000</c:v>
                </c:pt>
                <c:pt idx="13">
                  <c:v>30000</c:v>
                </c:pt>
                <c:pt idx="14">
                  <c:v>36000</c:v>
                </c:pt>
                <c:pt idx="15">
                  <c:v>37500</c:v>
                </c:pt>
                <c:pt idx="16">
                  <c:v>38000</c:v>
                </c:pt>
                <c:pt idx="17">
                  <c:v>42000</c:v>
                </c:pt>
                <c:pt idx="18">
                  <c:v>42000</c:v>
                </c:pt>
                <c:pt idx="19">
                  <c:v>43000</c:v>
                </c:pt>
                <c:pt idx="20">
                  <c:v>43500</c:v>
                </c:pt>
                <c:pt idx="21">
                  <c:v>45000</c:v>
                </c:pt>
                <c:pt idx="22">
                  <c:v>45000</c:v>
                </c:pt>
                <c:pt idx="23">
                  <c:v>45500</c:v>
                </c:pt>
                <c:pt idx="24">
                  <c:v>48000</c:v>
                </c:pt>
                <c:pt idx="25">
                  <c:v>49000</c:v>
                </c:pt>
                <c:pt idx="26">
                  <c:v>50000</c:v>
                </c:pt>
                <c:pt idx="27">
                  <c:v>50000</c:v>
                </c:pt>
                <c:pt idx="28">
                  <c:v>51000</c:v>
                </c:pt>
                <c:pt idx="29">
                  <c:v>55000</c:v>
                </c:pt>
                <c:pt idx="30">
                  <c:v>57000</c:v>
                </c:pt>
                <c:pt idx="31">
                  <c:v>57000</c:v>
                </c:pt>
                <c:pt idx="32">
                  <c:v>57600</c:v>
                </c:pt>
                <c:pt idx="33">
                  <c:v>60000</c:v>
                </c:pt>
                <c:pt idx="34">
                  <c:v>63000</c:v>
                </c:pt>
                <c:pt idx="35">
                  <c:v>65000</c:v>
                </c:pt>
                <c:pt idx="36">
                  <c:v>130000</c:v>
                </c:pt>
                <c:pt idx="37">
                  <c:v>159000</c:v>
                </c:pt>
                <c:pt idx="38">
                  <c:v>300000</c:v>
                </c:pt>
                <c:pt idx="39">
                  <c:v>46000</c:v>
                </c:pt>
                <c:pt idx="40">
                  <c:v>49850</c:v>
                </c:pt>
                <c:pt idx="41">
                  <c:v>50000</c:v>
                </c:pt>
                <c:pt idx="42">
                  <c:v>58000</c:v>
                </c:pt>
                <c:pt idx="43">
                  <c:v>12000</c:v>
                </c:pt>
                <c:pt idx="44">
                  <c:v>13000</c:v>
                </c:pt>
                <c:pt idx="45">
                  <c:v>18700</c:v>
                </c:pt>
                <c:pt idx="46">
                  <c:v>24000</c:v>
                </c:pt>
                <c:pt idx="47">
                  <c:v>25000</c:v>
                </c:pt>
                <c:pt idx="48">
                  <c:v>25300</c:v>
                </c:pt>
                <c:pt idx="49">
                  <c:v>32000</c:v>
                </c:pt>
                <c:pt idx="50">
                  <c:v>35000</c:v>
                </c:pt>
                <c:pt idx="51">
                  <c:v>36000</c:v>
                </c:pt>
                <c:pt idx="52">
                  <c:v>40000</c:v>
                </c:pt>
                <c:pt idx="53">
                  <c:v>42000</c:v>
                </c:pt>
                <c:pt idx="54">
                  <c:v>44000</c:v>
                </c:pt>
                <c:pt idx="55">
                  <c:v>45000</c:v>
                </c:pt>
                <c:pt idx="56">
                  <c:v>45000</c:v>
                </c:pt>
                <c:pt idx="57">
                  <c:v>45000</c:v>
                </c:pt>
                <c:pt idx="58">
                  <c:v>47000</c:v>
                </c:pt>
                <c:pt idx="59">
                  <c:v>47000</c:v>
                </c:pt>
                <c:pt idx="60">
                  <c:v>48000</c:v>
                </c:pt>
                <c:pt idx="61">
                  <c:v>48000</c:v>
                </c:pt>
                <c:pt idx="62">
                  <c:v>48000</c:v>
                </c:pt>
                <c:pt idx="63">
                  <c:v>48000</c:v>
                </c:pt>
                <c:pt idx="64">
                  <c:v>49000</c:v>
                </c:pt>
                <c:pt idx="65">
                  <c:v>50000</c:v>
                </c:pt>
                <c:pt idx="66">
                  <c:v>50000</c:v>
                </c:pt>
                <c:pt idx="67">
                  <c:v>50000</c:v>
                </c:pt>
                <c:pt idx="68">
                  <c:v>50000</c:v>
                </c:pt>
                <c:pt idx="69">
                  <c:v>50000</c:v>
                </c:pt>
                <c:pt idx="70">
                  <c:v>50000</c:v>
                </c:pt>
                <c:pt idx="71">
                  <c:v>50000</c:v>
                </c:pt>
                <c:pt idx="72">
                  <c:v>51000</c:v>
                </c:pt>
                <c:pt idx="73">
                  <c:v>52000</c:v>
                </c:pt>
                <c:pt idx="74">
                  <c:v>52000</c:v>
                </c:pt>
                <c:pt idx="75">
                  <c:v>52500</c:v>
                </c:pt>
                <c:pt idx="76">
                  <c:v>54000</c:v>
                </c:pt>
                <c:pt idx="77">
                  <c:v>54000</c:v>
                </c:pt>
                <c:pt idx="78">
                  <c:v>54000</c:v>
                </c:pt>
                <c:pt idx="79">
                  <c:v>54000</c:v>
                </c:pt>
                <c:pt idx="80">
                  <c:v>55000</c:v>
                </c:pt>
                <c:pt idx="81">
                  <c:v>55200</c:v>
                </c:pt>
                <c:pt idx="82">
                  <c:v>55200</c:v>
                </c:pt>
                <c:pt idx="83">
                  <c:v>58000</c:v>
                </c:pt>
                <c:pt idx="84">
                  <c:v>58000</c:v>
                </c:pt>
                <c:pt idx="85">
                  <c:v>58000</c:v>
                </c:pt>
                <c:pt idx="86">
                  <c:v>60000</c:v>
                </c:pt>
                <c:pt idx="87">
                  <c:v>60000</c:v>
                </c:pt>
                <c:pt idx="88">
                  <c:v>62000</c:v>
                </c:pt>
                <c:pt idx="89">
                  <c:v>62000</c:v>
                </c:pt>
                <c:pt idx="90">
                  <c:v>63000</c:v>
                </c:pt>
                <c:pt idx="91">
                  <c:v>63000</c:v>
                </c:pt>
                <c:pt idx="92">
                  <c:v>64000</c:v>
                </c:pt>
                <c:pt idx="93">
                  <c:v>65000</c:v>
                </c:pt>
                <c:pt idx="94">
                  <c:v>65000</c:v>
                </c:pt>
                <c:pt idx="95">
                  <c:v>68000</c:v>
                </c:pt>
                <c:pt idx="96">
                  <c:v>70000</c:v>
                </c:pt>
                <c:pt idx="97">
                  <c:v>70000</c:v>
                </c:pt>
                <c:pt idx="98">
                  <c:v>80000</c:v>
                </c:pt>
                <c:pt idx="99">
                  <c:v>90000</c:v>
                </c:pt>
                <c:pt idx="100">
                  <c:v>20000</c:v>
                </c:pt>
                <c:pt idx="101">
                  <c:v>40000</c:v>
                </c:pt>
                <c:pt idx="102">
                  <c:v>60000</c:v>
                </c:pt>
                <c:pt idx="103">
                  <c:v>60000</c:v>
                </c:pt>
                <c:pt idx="104">
                  <c:v>60000</c:v>
                </c:pt>
                <c:pt idx="105">
                  <c:v>10001</c:v>
                </c:pt>
                <c:pt idx="106">
                  <c:v>10001</c:v>
                </c:pt>
                <c:pt idx="107">
                  <c:v>10164</c:v>
                </c:pt>
                <c:pt idx="108">
                  <c:v>17500</c:v>
                </c:pt>
                <c:pt idx="109">
                  <c:v>21120</c:v>
                </c:pt>
                <c:pt idx="110">
                  <c:v>23000</c:v>
                </c:pt>
                <c:pt idx="111">
                  <c:v>27000</c:v>
                </c:pt>
                <c:pt idx="112">
                  <c:v>29000</c:v>
                </c:pt>
                <c:pt idx="113">
                  <c:v>30000</c:v>
                </c:pt>
                <c:pt idx="114">
                  <c:v>30000</c:v>
                </c:pt>
                <c:pt idx="115">
                  <c:v>30000</c:v>
                </c:pt>
                <c:pt idx="116">
                  <c:v>32000</c:v>
                </c:pt>
                <c:pt idx="117">
                  <c:v>37000</c:v>
                </c:pt>
                <c:pt idx="118">
                  <c:v>42000</c:v>
                </c:pt>
                <c:pt idx="119">
                  <c:v>43000</c:v>
                </c:pt>
                <c:pt idx="120">
                  <c:v>44000</c:v>
                </c:pt>
                <c:pt idx="121">
                  <c:v>45000</c:v>
                </c:pt>
                <c:pt idx="122">
                  <c:v>48000</c:v>
                </c:pt>
                <c:pt idx="123">
                  <c:v>48000</c:v>
                </c:pt>
                <c:pt idx="124">
                  <c:v>48000</c:v>
                </c:pt>
                <c:pt idx="125">
                  <c:v>48000</c:v>
                </c:pt>
                <c:pt idx="126">
                  <c:v>48000</c:v>
                </c:pt>
                <c:pt idx="127">
                  <c:v>49200</c:v>
                </c:pt>
                <c:pt idx="128">
                  <c:v>50000</c:v>
                </c:pt>
                <c:pt idx="129">
                  <c:v>51000</c:v>
                </c:pt>
                <c:pt idx="130">
                  <c:v>52000</c:v>
                </c:pt>
                <c:pt idx="131">
                  <c:v>53000</c:v>
                </c:pt>
                <c:pt idx="132">
                  <c:v>53000</c:v>
                </c:pt>
                <c:pt idx="133">
                  <c:v>54000</c:v>
                </c:pt>
                <c:pt idx="134">
                  <c:v>54500</c:v>
                </c:pt>
                <c:pt idx="135">
                  <c:v>55000</c:v>
                </c:pt>
                <c:pt idx="136">
                  <c:v>55000</c:v>
                </c:pt>
                <c:pt idx="137">
                  <c:v>55000</c:v>
                </c:pt>
                <c:pt idx="138">
                  <c:v>57000</c:v>
                </c:pt>
                <c:pt idx="139">
                  <c:v>57600</c:v>
                </c:pt>
                <c:pt idx="140">
                  <c:v>58000</c:v>
                </c:pt>
                <c:pt idx="141">
                  <c:v>58000</c:v>
                </c:pt>
                <c:pt idx="142">
                  <c:v>58000</c:v>
                </c:pt>
                <c:pt idx="143">
                  <c:v>58000</c:v>
                </c:pt>
                <c:pt idx="144">
                  <c:v>60000</c:v>
                </c:pt>
                <c:pt idx="145">
                  <c:v>60000</c:v>
                </c:pt>
                <c:pt idx="146">
                  <c:v>60000</c:v>
                </c:pt>
                <c:pt idx="147">
                  <c:v>62000</c:v>
                </c:pt>
                <c:pt idx="148">
                  <c:v>62000</c:v>
                </c:pt>
                <c:pt idx="149">
                  <c:v>62000</c:v>
                </c:pt>
                <c:pt idx="150">
                  <c:v>63000</c:v>
                </c:pt>
                <c:pt idx="151">
                  <c:v>65000</c:v>
                </c:pt>
                <c:pt idx="152">
                  <c:v>65000</c:v>
                </c:pt>
                <c:pt idx="153">
                  <c:v>65000</c:v>
                </c:pt>
                <c:pt idx="154">
                  <c:v>65000</c:v>
                </c:pt>
                <c:pt idx="155">
                  <c:v>65000</c:v>
                </c:pt>
                <c:pt idx="156">
                  <c:v>65000</c:v>
                </c:pt>
                <c:pt idx="157">
                  <c:v>65000</c:v>
                </c:pt>
                <c:pt idx="158">
                  <c:v>65000</c:v>
                </c:pt>
                <c:pt idx="159">
                  <c:v>67000</c:v>
                </c:pt>
                <c:pt idx="160">
                  <c:v>68000</c:v>
                </c:pt>
                <c:pt idx="161">
                  <c:v>70000</c:v>
                </c:pt>
                <c:pt idx="162">
                  <c:v>70000</c:v>
                </c:pt>
                <c:pt idx="163">
                  <c:v>70000</c:v>
                </c:pt>
                <c:pt idx="164">
                  <c:v>70000</c:v>
                </c:pt>
                <c:pt idx="165">
                  <c:v>77000</c:v>
                </c:pt>
                <c:pt idx="166">
                  <c:v>77000</c:v>
                </c:pt>
                <c:pt idx="167">
                  <c:v>77600</c:v>
                </c:pt>
                <c:pt idx="168">
                  <c:v>80000</c:v>
                </c:pt>
                <c:pt idx="169">
                  <c:v>90000</c:v>
                </c:pt>
                <c:pt idx="170">
                  <c:v>100000</c:v>
                </c:pt>
                <c:pt idx="171">
                  <c:v>55000</c:v>
                </c:pt>
                <c:pt idx="172">
                  <c:v>70000</c:v>
                </c:pt>
                <c:pt idx="173">
                  <c:v>21000</c:v>
                </c:pt>
                <c:pt idx="174">
                  <c:v>24000</c:v>
                </c:pt>
                <c:pt idx="175">
                  <c:v>28000</c:v>
                </c:pt>
                <c:pt idx="176">
                  <c:v>30000</c:v>
                </c:pt>
                <c:pt idx="177">
                  <c:v>34000</c:v>
                </c:pt>
                <c:pt idx="178">
                  <c:v>37500</c:v>
                </c:pt>
                <c:pt idx="179">
                  <c:v>37500</c:v>
                </c:pt>
                <c:pt idx="180">
                  <c:v>39000</c:v>
                </c:pt>
                <c:pt idx="181">
                  <c:v>40000</c:v>
                </c:pt>
                <c:pt idx="182">
                  <c:v>42000</c:v>
                </c:pt>
                <c:pt idx="183">
                  <c:v>42000</c:v>
                </c:pt>
                <c:pt idx="184">
                  <c:v>43000</c:v>
                </c:pt>
                <c:pt idx="185">
                  <c:v>44000</c:v>
                </c:pt>
                <c:pt idx="186">
                  <c:v>45000</c:v>
                </c:pt>
                <c:pt idx="187">
                  <c:v>45000</c:v>
                </c:pt>
                <c:pt idx="188">
                  <c:v>45000</c:v>
                </c:pt>
                <c:pt idx="189">
                  <c:v>46000</c:v>
                </c:pt>
                <c:pt idx="190">
                  <c:v>46000</c:v>
                </c:pt>
                <c:pt idx="191">
                  <c:v>50000</c:v>
                </c:pt>
                <c:pt idx="192">
                  <c:v>50000</c:v>
                </c:pt>
                <c:pt idx="193">
                  <c:v>50000</c:v>
                </c:pt>
                <c:pt idx="194">
                  <c:v>50000</c:v>
                </c:pt>
                <c:pt idx="195">
                  <c:v>50500</c:v>
                </c:pt>
                <c:pt idx="196">
                  <c:v>51000</c:v>
                </c:pt>
                <c:pt idx="197">
                  <c:v>51000</c:v>
                </c:pt>
                <c:pt idx="198">
                  <c:v>52000</c:v>
                </c:pt>
                <c:pt idx="199">
                  <c:v>53000</c:v>
                </c:pt>
                <c:pt idx="200">
                  <c:v>54000</c:v>
                </c:pt>
                <c:pt idx="201">
                  <c:v>54000</c:v>
                </c:pt>
                <c:pt idx="202">
                  <c:v>54179.13</c:v>
                </c:pt>
                <c:pt idx="203">
                  <c:v>55000</c:v>
                </c:pt>
                <c:pt idx="204">
                  <c:v>55000</c:v>
                </c:pt>
                <c:pt idx="205">
                  <c:v>55000</c:v>
                </c:pt>
                <c:pt idx="206">
                  <c:v>55000</c:v>
                </c:pt>
                <c:pt idx="207">
                  <c:v>55500</c:v>
                </c:pt>
                <c:pt idx="208">
                  <c:v>56000</c:v>
                </c:pt>
                <c:pt idx="209">
                  <c:v>56000</c:v>
                </c:pt>
                <c:pt idx="210">
                  <c:v>57000</c:v>
                </c:pt>
                <c:pt idx="211">
                  <c:v>58000</c:v>
                </c:pt>
                <c:pt idx="212">
                  <c:v>60000</c:v>
                </c:pt>
                <c:pt idx="213">
                  <c:v>60000</c:v>
                </c:pt>
                <c:pt idx="214">
                  <c:v>60000</c:v>
                </c:pt>
                <c:pt idx="215">
                  <c:v>60000</c:v>
                </c:pt>
                <c:pt idx="216">
                  <c:v>60000</c:v>
                </c:pt>
                <c:pt idx="217">
                  <c:v>60000</c:v>
                </c:pt>
                <c:pt idx="218">
                  <c:v>60000</c:v>
                </c:pt>
                <c:pt idx="219">
                  <c:v>60000</c:v>
                </c:pt>
                <c:pt idx="220">
                  <c:v>61500</c:v>
                </c:pt>
                <c:pt idx="221">
                  <c:v>62000</c:v>
                </c:pt>
                <c:pt idx="222">
                  <c:v>62000</c:v>
                </c:pt>
                <c:pt idx="223">
                  <c:v>63000</c:v>
                </c:pt>
                <c:pt idx="224">
                  <c:v>64000</c:v>
                </c:pt>
                <c:pt idx="225">
                  <c:v>65000</c:v>
                </c:pt>
                <c:pt idx="226">
                  <c:v>65000</c:v>
                </c:pt>
                <c:pt idx="227">
                  <c:v>65000</c:v>
                </c:pt>
                <c:pt idx="228">
                  <c:v>65000</c:v>
                </c:pt>
                <c:pt idx="229">
                  <c:v>65000</c:v>
                </c:pt>
                <c:pt idx="230">
                  <c:v>65000</c:v>
                </c:pt>
                <c:pt idx="231">
                  <c:v>65000</c:v>
                </c:pt>
                <c:pt idx="232">
                  <c:v>65000</c:v>
                </c:pt>
                <c:pt idx="233">
                  <c:v>66000</c:v>
                </c:pt>
                <c:pt idx="234">
                  <c:v>66000</c:v>
                </c:pt>
                <c:pt idx="235">
                  <c:v>67000</c:v>
                </c:pt>
                <c:pt idx="236">
                  <c:v>67000</c:v>
                </c:pt>
                <c:pt idx="237">
                  <c:v>68000</c:v>
                </c:pt>
                <c:pt idx="238">
                  <c:v>69000</c:v>
                </c:pt>
                <c:pt idx="239">
                  <c:v>70000</c:v>
                </c:pt>
                <c:pt idx="240">
                  <c:v>70000</c:v>
                </c:pt>
                <c:pt idx="241">
                  <c:v>70500</c:v>
                </c:pt>
                <c:pt idx="242">
                  <c:v>73000</c:v>
                </c:pt>
                <c:pt idx="243">
                  <c:v>73000</c:v>
                </c:pt>
                <c:pt idx="244">
                  <c:v>73700</c:v>
                </c:pt>
                <c:pt idx="245">
                  <c:v>75000</c:v>
                </c:pt>
                <c:pt idx="246">
                  <c:v>78000</c:v>
                </c:pt>
                <c:pt idx="247">
                  <c:v>81000</c:v>
                </c:pt>
                <c:pt idx="248">
                  <c:v>82000</c:v>
                </c:pt>
                <c:pt idx="249">
                  <c:v>85000</c:v>
                </c:pt>
                <c:pt idx="250">
                  <c:v>95000</c:v>
                </c:pt>
                <c:pt idx="251">
                  <c:v>100000</c:v>
                </c:pt>
                <c:pt idx="252">
                  <c:v>105000</c:v>
                </c:pt>
                <c:pt idx="253">
                  <c:v>60000</c:v>
                </c:pt>
                <c:pt idx="254">
                  <c:v>75000</c:v>
                </c:pt>
                <c:pt idx="255">
                  <c:v>14712</c:v>
                </c:pt>
                <c:pt idx="256">
                  <c:v>20000</c:v>
                </c:pt>
                <c:pt idx="257">
                  <c:v>20000</c:v>
                </c:pt>
                <c:pt idx="258">
                  <c:v>35000</c:v>
                </c:pt>
                <c:pt idx="259">
                  <c:v>40000</c:v>
                </c:pt>
                <c:pt idx="260">
                  <c:v>45000</c:v>
                </c:pt>
                <c:pt idx="261">
                  <c:v>45000</c:v>
                </c:pt>
                <c:pt idx="262">
                  <c:v>45600</c:v>
                </c:pt>
                <c:pt idx="263">
                  <c:v>46000</c:v>
                </c:pt>
                <c:pt idx="264">
                  <c:v>48000</c:v>
                </c:pt>
                <c:pt idx="265">
                  <c:v>49000</c:v>
                </c:pt>
                <c:pt idx="266">
                  <c:v>50000</c:v>
                </c:pt>
                <c:pt idx="267">
                  <c:v>50000</c:v>
                </c:pt>
                <c:pt idx="268">
                  <c:v>50000</c:v>
                </c:pt>
                <c:pt idx="269">
                  <c:v>50000</c:v>
                </c:pt>
                <c:pt idx="270">
                  <c:v>50400</c:v>
                </c:pt>
                <c:pt idx="271">
                  <c:v>51000</c:v>
                </c:pt>
                <c:pt idx="272">
                  <c:v>52500</c:v>
                </c:pt>
                <c:pt idx="273">
                  <c:v>53000</c:v>
                </c:pt>
                <c:pt idx="274">
                  <c:v>53500</c:v>
                </c:pt>
                <c:pt idx="275">
                  <c:v>54000</c:v>
                </c:pt>
                <c:pt idx="276">
                  <c:v>54000</c:v>
                </c:pt>
                <c:pt idx="277">
                  <c:v>54000</c:v>
                </c:pt>
                <c:pt idx="278">
                  <c:v>55000</c:v>
                </c:pt>
                <c:pt idx="279">
                  <c:v>55000</c:v>
                </c:pt>
                <c:pt idx="280">
                  <c:v>55000</c:v>
                </c:pt>
                <c:pt idx="281">
                  <c:v>55000</c:v>
                </c:pt>
                <c:pt idx="282">
                  <c:v>55000</c:v>
                </c:pt>
                <c:pt idx="283">
                  <c:v>55000</c:v>
                </c:pt>
                <c:pt idx="284">
                  <c:v>55000</c:v>
                </c:pt>
                <c:pt idx="285">
                  <c:v>55000</c:v>
                </c:pt>
                <c:pt idx="286">
                  <c:v>55000</c:v>
                </c:pt>
                <c:pt idx="287">
                  <c:v>56000</c:v>
                </c:pt>
                <c:pt idx="288">
                  <c:v>56000</c:v>
                </c:pt>
                <c:pt idx="289">
                  <c:v>56000</c:v>
                </c:pt>
                <c:pt idx="290">
                  <c:v>56000</c:v>
                </c:pt>
                <c:pt idx="291">
                  <c:v>56700</c:v>
                </c:pt>
                <c:pt idx="292">
                  <c:v>57000</c:v>
                </c:pt>
                <c:pt idx="293">
                  <c:v>57000</c:v>
                </c:pt>
                <c:pt idx="294">
                  <c:v>57000</c:v>
                </c:pt>
                <c:pt idx="295">
                  <c:v>57750</c:v>
                </c:pt>
                <c:pt idx="296">
                  <c:v>58000</c:v>
                </c:pt>
                <c:pt idx="297">
                  <c:v>58000</c:v>
                </c:pt>
                <c:pt idx="298">
                  <c:v>59000</c:v>
                </c:pt>
                <c:pt idx="299">
                  <c:v>59064</c:v>
                </c:pt>
                <c:pt idx="300">
                  <c:v>60000</c:v>
                </c:pt>
                <c:pt idx="301">
                  <c:v>60000</c:v>
                </c:pt>
                <c:pt idx="302">
                  <c:v>60000</c:v>
                </c:pt>
                <c:pt idx="303">
                  <c:v>60000</c:v>
                </c:pt>
                <c:pt idx="304">
                  <c:v>60000</c:v>
                </c:pt>
                <c:pt idx="305">
                  <c:v>60000</c:v>
                </c:pt>
                <c:pt idx="306">
                  <c:v>60000</c:v>
                </c:pt>
                <c:pt idx="307">
                  <c:v>60000</c:v>
                </c:pt>
                <c:pt idx="308">
                  <c:v>61000</c:v>
                </c:pt>
                <c:pt idx="309">
                  <c:v>63000</c:v>
                </c:pt>
                <c:pt idx="310">
                  <c:v>64000</c:v>
                </c:pt>
                <c:pt idx="311">
                  <c:v>64000</c:v>
                </c:pt>
                <c:pt idx="312">
                  <c:v>64000</c:v>
                </c:pt>
                <c:pt idx="313">
                  <c:v>65000</c:v>
                </c:pt>
                <c:pt idx="314">
                  <c:v>65000</c:v>
                </c:pt>
                <c:pt idx="315">
                  <c:v>65000</c:v>
                </c:pt>
                <c:pt idx="316">
                  <c:v>65000</c:v>
                </c:pt>
                <c:pt idx="317">
                  <c:v>65000</c:v>
                </c:pt>
                <c:pt idx="318">
                  <c:v>65000</c:v>
                </c:pt>
                <c:pt idx="319">
                  <c:v>65000</c:v>
                </c:pt>
                <c:pt idx="320">
                  <c:v>65000</c:v>
                </c:pt>
                <c:pt idx="321">
                  <c:v>65000</c:v>
                </c:pt>
                <c:pt idx="322">
                  <c:v>65000</c:v>
                </c:pt>
                <c:pt idx="323">
                  <c:v>65000</c:v>
                </c:pt>
                <c:pt idx="324">
                  <c:v>65000</c:v>
                </c:pt>
                <c:pt idx="325">
                  <c:v>65000</c:v>
                </c:pt>
                <c:pt idx="326">
                  <c:v>65000</c:v>
                </c:pt>
                <c:pt idx="327">
                  <c:v>65000</c:v>
                </c:pt>
                <c:pt idx="328">
                  <c:v>65000</c:v>
                </c:pt>
                <c:pt idx="329">
                  <c:v>65000</c:v>
                </c:pt>
                <c:pt idx="330">
                  <c:v>66000</c:v>
                </c:pt>
                <c:pt idx="331">
                  <c:v>66000</c:v>
                </c:pt>
                <c:pt idx="332">
                  <c:v>66000</c:v>
                </c:pt>
                <c:pt idx="333">
                  <c:v>67000</c:v>
                </c:pt>
                <c:pt idx="334">
                  <c:v>67000</c:v>
                </c:pt>
                <c:pt idx="335">
                  <c:v>68000</c:v>
                </c:pt>
                <c:pt idx="336">
                  <c:v>68250</c:v>
                </c:pt>
                <c:pt idx="337">
                  <c:v>69000</c:v>
                </c:pt>
                <c:pt idx="338">
                  <c:v>69000</c:v>
                </c:pt>
                <c:pt idx="339">
                  <c:v>70000</c:v>
                </c:pt>
                <c:pt idx="340">
                  <c:v>70000</c:v>
                </c:pt>
                <c:pt idx="341">
                  <c:v>70000</c:v>
                </c:pt>
                <c:pt idx="342">
                  <c:v>70000</c:v>
                </c:pt>
                <c:pt idx="343">
                  <c:v>70000</c:v>
                </c:pt>
                <c:pt idx="344">
                  <c:v>70000</c:v>
                </c:pt>
                <c:pt idx="345">
                  <c:v>70000</c:v>
                </c:pt>
                <c:pt idx="346">
                  <c:v>70000</c:v>
                </c:pt>
                <c:pt idx="347">
                  <c:v>70000</c:v>
                </c:pt>
                <c:pt idx="348">
                  <c:v>70800</c:v>
                </c:pt>
                <c:pt idx="349">
                  <c:v>71000</c:v>
                </c:pt>
                <c:pt idx="350">
                  <c:v>71000</c:v>
                </c:pt>
                <c:pt idx="351">
                  <c:v>72000</c:v>
                </c:pt>
                <c:pt idx="352">
                  <c:v>72000</c:v>
                </c:pt>
                <c:pt idx="353">
                  <c:v>72000</c:v>
                </c:pt>
                <c:pt idx="354">
                  <c:v>72000</c:v>
                </c:pt>
                <c:pt idx="355">
                  <c:v>72000</c:v>
                </c:pt>
                <c:pt idx="356">
                  <c:v>72000</c:v>
                </c:pt>
                <c:pt idx="357">
                  <c:v>73000</c:v>
                </c:pt>
                <c:pt idx="358">
                  <c:v>73500</c:v>
                </c:pt>
                <c:pt idx="359">
                  <c:v>74000</c:v>
                </c:pt>
                <c:pt idx="360">
                  <c:v>75000</c:v>
                </c:pt>
                <c:pt idx="361">
                  <c:v>75000</c:v>
                </c:pt>
                <c:pt idx="362">
                  <c:v>75000</c:v>
                </c:pt>
                <c:pt idx="363">
                  <c:v>75000</c:v>
                </c:pt>
                <c:pt idx="364">
                  <c:v>75000</c:v>
                </c:pt>
                <c:pt idx="365">
                  <c:v>75000</c:v>
                </c:pt>
                <c:pt idx="366">
                  <c:v>75000</c:v>
                </c:pt>
                <c:pt idx="367">
                  <c:v>75000</c:v>
                </c:pt>
                <c:pt idx="368">
                  <c:v>75000</c:v>
                </c:pt>
                <c:pt idx="369">
                  <c:v>75000</c:v>
                </c:pt>
                <c:pt idx="370">
                  <c:v>76000</c:v>
                </c:pt>
                <c:pt idx="371">
                  <c:v>76000</c:v>
                </c:pt>
                <c:pt idx="372">
                  <c:v>76500</c:v>
                </c:pt>
                <c:pt idx="373">
                  <c:v>77000</c:v>
                </c:pt>
                <c:pt idx="374">
                  <c:v>77500</c:v>
                </c:pt>
                <c:pt idx="375">
                  <c:v>78000</c:v>
                </c:pt>
                <c:pt idx="376">
                  <c:v>79000</c:v>
                </c:pt>
                <c:pt idx="377">
                  <c:v>80000</c:v>
                </c:pt>
                <c:pt idx="378">
                  <c:v>80000</c:v>
                </c:pt>
                <c:pt idx="379">
                  <c:v>80000</c:v>
                </c:pt>
                <c:pt idx="380">
                  <c:v>80000</c:v>
                </c:pt>
                <c:pt idx="381">
                  <c:v>80000</c:v>
                </c:pt>
                <c:pt idx="382">
                  <c:v>87000</c:v>
                </c:pt>
                <c:pt idx="383">
                  <c:v>90000</c:v>
                </c:pt>
                <c:pt idx="384">
                  <c:v>90000</c:v>
                </c:pt>
                <c:pt idx="385">
                  <c:v>90000</c:v>
                </c:pt>
                <c:pt idx="386">
                  <c:v>106000</c:v>
                </c:pt>
                <c:pt idx="387">
                  <c:v>115000</c:v>
                </c:pt>
                <c:pt idx="388">
                  <c:v>150000</c:v>
                </c:pt>
                <c:pt idx="389">
                  <c:v>180000</c:v>
                </c:pt>
                <c:pt idx="390">
                  <c:v>240000</c:v>
                </c:pt>
                <c:pt idx="391">
                  <c:v>48000</c:v>
                </c:pt>
                <c:pt idx="392">
                  <c:v>33000</c:v>
                </c:pt>
                <c:pt idx="393">
                  <c:v>42000</c:v>
                </c:pt>
                <c:pt idx="394">
                  <c:v>47400</c:v>
                </c:pt>
                <c:pt idx="395">
                  <c:v>49000</c:v>
                </c:pt>
                <c:pt idx="396">
                  <c:v>50000</c:v>
                </c:pt>
                <c:pt idx="397">
                  <c:v>50000</c:v>
                </c:pt>
                <c:pt idx="398">
                  <c:v>51000</c:v>
                </c:pt>
                <c:pt idx="399">
                  <c:v>51000</c:v>
                </c:pt>
                <c:pt idx="400">
                  <c:v>52800</c:v>
                </c:pt>
                <c:pt idx="401">
                  <c:v>53000</c:v>
                </c:pt>
                <c:pt idx="402">
                  <c:v>53000</c:v>
                </c:pt>
                <c:pt idx="403">
                  <c:v>54000</c:v>
                </c:pt>
                <c:pt idx="404">
                  <c:v>55000</c:v>
                </c:pt>
                <c:pt idx="405">
                  <c:v>55000</c:v>
                </c:pt>
                <c:pt idx="406">
                  <c:v>56000</c:v>
                </c:pt>
                <c:pt idx="407">
                  <c:v>57000</c:v>
                </c:pt>
                <c:pt idx="408">
                  <c:v>57000</c:v>
                </c:pt>
                <c:pt idx="409">
                  <c:v>57000</c:v>
                </c:pt>
                <c:pt idx="410">
                  <c:v>58000</c:v>
                </c:pt>
                <c:pt idx="411">
                  <c:v>58000</c:v>
                </c:pt>
                <c:pt idx="412">
                  <c:v>58000</c:v>
                </c:pt>
                <c:pt idx="413">
                  <c:v>59000</c:v>
                </c:pt>
                <c:pt idx="414">
                  <c:v>60000</c:v>
                </c:pt>
                <c:pt idx="415">
                  <c:v>60000</c:v>
                </c:pt>
                <c:pt idx="416">
                  <c:v>60000</c:v>
                </c:pt>
                <c:pt idx="417">
                  <c:v>60000</c:v>
                </c:pt>
                <c:pt idx="418">
                  <c:v>60000</c:v>
                </c:pt>
                <c:pt idx="419">
                  <c:v>60000</c:v>
                </c:pt>
                <c:pt idx="420">
                  <c:v>60000</c:v>
                </c:pt>
                <c:pt idx="421">
                  <c:v>60000</c:v>
                </c:pt>
                <c:pt idx="422">
                  <c:v>61500</c:v>
                </c:pt>
                <c:pt idx="423">
                  <c:v>62000</c:v>
                </c:pt>
                <c:pt idx="424">
                  <c:v>62000</c:v>
                </c:pt>
                <c:pt idx="425">
                  <c:v>62000</c:v>
                </c:pt>
                <c:pt idx="426">
                  <c:v>63000</c:v>
                </c:pt>
                <c:pt idx="427">
                  <c:v>63000</c:v>
                </c:pt>
                <c:pt idx="428">
                  <c:v>63700</c:v>
                </c:pt>
                <c:pt idx="429">
                  <c:v>64000</c:v>
                </c:pt>
                <c:pt idx="430">
                  <c:v>64800</c:v>
                </c:pt>
                <c:pt idx="431">
                  <c:v>65000</c:v>
                </c:pt>
                <c:pt idx="432">
                  <c:v>65000</c:v>
                </c:pt>
                <c:pt idx="433">
                  <c:v>65000</c:v>
                </c:pt>
                <c:pt idx="434">
                  <c:v>65000</c:v>
                </c:pt>
                <c:pt idx="435">
                  <c:v>65000</c:v>
                </c:pt>
                <c:pt idx="436">
                  <c:v>65000</c:v>
                </c:pt>
                <c:pt idx="437">
                  <c:v>65000</c:v>
                </c:pt>
                <c:pt idx="438">
                  <c:v>66000</c:v>
                </c:pt>
                <c:pt idx="439">
                  <c:v>66000</c:v>
                </c:pt>
                <c:pt idx="440">
                  <c:v>66500</c:v>
                </c:pt>
                <c:pt idx="441">
                  <c:v>67500</c:v>
                </c:pt>
                <c:pt idx="442">
                  <c:v>68000</c:v>
                </c:pt>
                <c:pt idx="443">
                  <c:v>68000</c:v>
                </c:pt>
                <c:pt idx="444">
                  <c:v>69200</c:v>
                </c:pt>
                <c:pt idx="445">
                  <c:v>70000</c:v>
                </c:pt>
                <c:pt idx="446">
                  <c:v>70000</c:v>
                </c:pt>
                <c:pt idx="447">
                  <c:v>70000</c:v>
                </c:pt>
                <c:pt idx="448">
                  <c:v>70000</c:v>
                </c:pt>
                <c:pt idx="449">
                  <c:v>70000</c:v>
                </c:pt>
                <c:pt idx="450">
                  <c:v>70000</c:v>
                </c:pt>
                <c:pt idx="451">
                  <c:v>70000</c:v>
                </c:pt>
                <c:pt idx="452">
                  <c:v>70000</c:v>
                </c:pt>
                <c:pt idx="453">
                  <c:v>70000</c:v>
                </c:pt>
                <c:pt idx="454">
                  <c:v>70000</c:v>
                </c:pt>
                <c:pt idx="455">
                  <c:v>70000</c:v>
                </c:pt>
                <c:pt idx="456">
                  <c:v>71750</c:v>
                </c:pt>
                <c:pt idx="457">
                  <c:v>72000</c:v>
                </c:pt>
                <c:pt idx="458">
                  <c:v>74000</c:v>
                </c:pt>
                <c:pt idx="459">
                  <c:v>74000</c:v>
                </c:pt>
                <c:pt idx="460">
                  <c:v>74000</c:v>
                </c:pt>
                <c:pt idx="461">
                  <c:v>75000</c:v>
                </c:pt>
                <c:pt idx="462">
                  <c:v>75000</c:v>
                </c:pt>
                <c:pt idx="463">
                  <c:v>75000</c:v>
                </c:pt>
                <c:pt idx="464">
                  <c:v>75000</c:v>
                </c:pt>
                <c:pt idx="465">
                  <c:v>75000</c:v>
                </c:pt>
                <c:pt idx="466">
                  <c:v>76000</c:v>
                </c:pt>
                <c:pt idx="467">
                  <c:v>78000</c:v>
                </c:pt>
                <c:pt idx="468">
                  <c:v>78000</c:v>
                </c:pt>
                <c:pt idx="469">
                  <c:v>79000</c:v>
                </c:pt>
                <c:pt idx="470">
                  <c:v>80000</c:v>
                </c:pt>
                <c:pt idx="471">
                  <c:v>80000</c:v>
                </c:pt>
                <c:pt idx="472">
                  <c:v>82000</c:v>
                </c:pt>
                <c:pt idx="473">
                  <c:v>82000</c:v>
                </c:pt>
                <c:pt idx="474">
                  <c:v>83000</c:v>
                </c:pt>
                <c:pt idx="475">
                  <c:v>85000</c:v>
                </c:pt>
                <c:pt idx="476">
                  <c:v>85000</c:v>
                </c:pt>
                <c:pt idx="477">
                  <c:v>85000</c:v>
                </c:pt>
                <c:pt idx="478">
                  <c:v>85600</c:v>
                </c:pt>
                <c:pt idx="479">
                  <c:v>86000</c:v>
                </c:pt>
                <c:pt idx="480">
                  <c:v>90000</c:v>
                </c:pt>
                <c:pt idx="481">
                  <c:v>90000</c:v>
                </c:pt>
                <c:pt idx="482">
                  <c:v>90000</c:v>
                </c:pt>
                <c:pt idx="483">
                  <c:v>92000</c:v>
                </c:pt>
                <c:pt idx="484">
                  <c:v>92000</c:v>
                </c:pt>
                <c:pt idx="485">
                  <c:v>93000</c:v>
                </c:pt>
                <c:pt idx="486">
                  <c:v>100000</c:v>
                </c:pt>
                <c:pt idx="487">
                  <c:v>100000</c:v>
                </c:pt>
                <c:pt idx="488">
                  <c:v>110000</c:v>
                </c:pt>
                <c:pt idx="489">
                  <c:v>110000</c:v>
                </c:pt>
                <c:pt idx="490">
                  <c:v>110000</c:v>
                </c:pt>
                <c:pt idx="491">
                  <c:v>200000</c:v>
                </c:pt>
                <c:pt idx="492">
                  <c:v>58000</c:v>
                </c:pt>
                <c:pt idx="493">
                  <c:v>38350</c:v>
                </c:pt>
                <c:pt idx="494">
                  <c:v>42000</c:v>
                </c:pt>
                <c:pt idx="495">
                  <c:v>42000</c:v>
                </c:pt>
                <c:pt idx="496">
                  <c:v>45000</c:v>
                </c:pt>
                <c:pt idx="497">
                  <c:v>45000</c:v>
                </c:pt>
                <c:pt idx="498">
                  <c:v>45000</c:v>
                </c:pt>
                <c:pt idx="499">
                  <c:v>46000</c:v>
                </c:pt>
                <c:pt idx="500">
                  <c:v>48000</c:v>
                </c:pt>
                <c:pt idx="501">
                  <c:v>49000</c:v>
                </c:pt>
                <c:pt idx="502">
                  <c:v>50400</c:v>
                </c:pt>
                <c:pt idx="503">
                  <c:v>54000</c:v>
                </c:pt>
                <c:pt idx="504">
                  <c:v>54000</c:v>
                </c:pt>
                <c:pt idx="505">
                  <c:v>54500</c:v>
                </c:pt>
                <c:pt idx="506">
                  <c:v>55000</c:v>
                </c:pt>
                <c:pt idx="507">
                  <c:v>55000</c:v>
                </c:pt>
                <c:pt idx="508">
                  <c:v>60000</c:v>
                </c:pt>
                <c:pt idx="509">
                  <c:v>60000</c:v>
                </c:pt>
                <c:pt idx="510">
                  <c:v>60000</c:v>
                </c:pt>
                <c:pt idx="511">
                  <c:v>60000</c:v>
                </c:pt>
                <c:pt idx="512">
                  <c:v>60000</c:v>
                </c:pt>
                <c:pt idx="513">
                  <c:v>60000</c:v>
                </c:pt>
                <c:pt idx="514">
                  <c:v>60000</c:v>
                </c:pt>
                <c:pt idx="515">
                  <c:v>60350</c:v>
                </c:pt>
                <c:pt idx="516">
                  <c:v>62000</c:v>
                </c:pt>
                <c:pt idx="517">
                  <c:v>62000</c:v>
                </c:pt>
                <c:pt idx="518">
                  <c:v>62000</c:v>
                </c:pt>
                <c:pt idx="519">
                  <c:v>63000</c:v>
                </c:pt>
                <c:pt idx="520">
                  <c:v>63000</c:v>
                </c:pt>
                <c:pt idx="521">
                  <c:v>63000</c:v>
                </c:pt>
                <c:pt idx="522">
                  <c:v>64000</c:v>
                </c:pt>
                <c:pt idx="523">
                  <c:v>64000</c:v>
                </c:pt>
                <c:pt idx="524">
                  <c:v>65000</c:v>
                </c:pt>
                <c:pt idx="525">
                  <c:v>65000</c:v>
                </c:pt>
                <c:pt idx="526">
                  <c:v>65000</c:v>
                </c:pt>
                <c:pt idx="527">
                  <c:v>65000</c:v>
                </c:pt>
                <c:pt idx="528">
                  <c:v>65000</c:v>
                </c:pt>
                <c:pt idx="529">
                  <c:v>65900</c:v>
                </c:pt>
                <c:pt idx="530">
                  <c:v>66000</c:v>
                </c:pt>
                <c:pt idx="531">
                  <c:v>68000</c:v>
                </c:pt>
                <c:pt idx="532">
                  <c:v>68000</c:v>
                </c:pt>
                <c:pt idx="533">
                  <c:v>68500</c:v>
                </c:pt>
                <c:pt idx="534">
                  <c:v>70000</c:v>
                </c:pt>
                <c:pt idx="535">
                  <c:v>70000</c:v>
                </c:pt>
                <c:pt idx="536">
                  <c:v>70000</c:v>
                </c:pt>
                <c:pt idx="537">
                  <c:v>70000</c:v>
                </c:pt>
                <c:pt idx="538">
                  <c:v>70000</c:v>
                </c:pt>
                <c:pt idx="539">
                  <c:v>70000</c:v>
                </c:pt>
                <c:pt idx="540">
                  <c:v>72000</c:v>
                </c:pt>
                <c:pt idx="541">
                  <c:v>72000</c:v>
                </c:pt>
                <c:pt idx="542">
                  <c:v>72000</c:v>
                </c:pt>
                <c:pt idx="543">
                  <c:v>72000</c:v>
                </c:pt>
                <c:pt idx="544">
                  <c:v>72000</c:v>
                </c:pt>
                <c:pt idx="545">
                  <c:v>72000</c:v>
                </c:pt>
                <c:pt idx="546">
                  <c:v>72000</c:v>
                </c:pt>
                <c:pt idx="547">
                  <c:v>75000</c:v>
                </c:pt>
                <c:pt idx="548">
                  <c:v>75000</c:v>
                </c:pt>
                <c:pt idx="549">
                  <c:v>75000</c:v>
                </c:pt>
                <c:pt idx="550">
                  <c:v>76000</c:v>
                </c:pt>
                <c:pt idx="551">
                  <c:v>76000</c:v>
                </c:pt>
                <c:pt idx="552">
                  <c:v>78000</c:v>
                </c:pt>
                <c:pt idx="553">
                  <c:v>78000</c:v>
                </c:pt>
                <c:pt idx="554">
                  <c:v>80000</c:v>
                </c:pt>
                <c:pt idx="555">
                  <c:v>80000</c:v>
                </c:pt>
                <c:pt idx="556">
                  <c:v>80000</c:v>
                </c:pt>
                <c:pt idx="557">
                  <c:v>80000</c:v>
                </c:pt>
                <c:pt idx="558">
                  <c:v>80000</c:v>
                </c:pt>
                <c:pt idx="559">
                  <c:v>80000</c:v>
                </c:pt>
                <c:pt idx="560">
                  <c:v>80000</c:v>
                </c:pt>
                <c:pt idx="561">
                  <c:v>80000</c:v>
                </c:pt>
                <c:pt idx="562">
                  <c:v>80000</c:v>
                </c:pt>
                <c:pt idx="563">
                  <c:v>80000</c:v>
                </c:pt>
                <c:pt idx="564">
                  <c:v>80000</c:v>
                </c:pt>
                <c:pt idx="565">
                  <c:v>82000</c:v>
                </c:pt>
                <c:pt idx="566">
                  <c:v>82000</c:v>
                </c:pt>
                <c:pt idx="567">
                  <c:v>83000</c:v>
                </c:pt>
                <c:pt idx="568">
                  <c:v>85000</c:v>
                </c:pt>
                <c:pt idx="569">
                  <c:v>86000</c:v>
                </c:pt>
                <c:pt idx="570">
                  <c:v>90000</c:v>
                </c:pt>
                <c:pt idx="571">
                  <c:v>90000</c:v>
                </c:pt>
                <c:pt idx="572">
                  <c:v>95000</c:v>
                </c:pt>
                <c:pt idx="573">
                  <c:v>100000</c:v>
                </c:pt>
                <c:pt idx="574">
                  <c:v>100000</c:v>
                </c:pt>
                <c:pt idx="575">
                  <c:v>108500</c:v>
                </c:pt>
                <c:pt idx="576">
                  <c:v>150000</c:v>
                </c:pt>
                <c:pt idx="577">
                  <c:v>68000</c:v>
                </c:pt>
                <c:pt idx="578">
                  <c:v>25000</c:v>
                </c:pt>
                <c:pt idx="579">
                  <c:v>27000</c:v>
                </c:pt>
                <c:pt idx="580">
                  <c:v>36000</c:v>
                </c:pt>
                <c:pt idx="581">
                  <c:v>40000</c:v>
                </c:pt>
                <c:pt idx="582">
                  <c:v>45000</c:v>
                </c:pt>
                <c:pt idx="583">
                  <c:v>45000</c:v>
                </c:pt>
                <c:pt idx="584">
                  <c:v>50000</c:v>
                </c:pt>
                <c:pt idx="585">
                  <c:v>52000</c:v>
                </c:pt>
                <c:pt idx="586">
                  <c:v>52000</c:v>
                </c:pt>
                <c:pt idx="587">
                  <c:v>54000</c:v>
                </c:pt>
                <c:pt idx="588">
                  <c:v>55000</c:v>
                </c:pt>
                <c:pt idx="589">
                  <c:v>55000</c:v>
                </c:pt>
                <c:pt idx="590">
                  <c:v>55000</c:v>
                </c:pt>
                <c:pt idx="591">
                  <c:v>56000</c:v>
                </c:pt>
                <c:pt idx="592">
                  <c:v>57000</c:v>
                </c:pt>
                <c:pt idx="593">
                  <c:v>57000</c:v>
                </c:pt>
                <c:pt idx="594">
                  <c:v>57000</c:v>
                </c:pt>
                <c:pt idx="595">
                  <c:v>57760</c:v>
                </c:pt>
                <c:pt idx="596">
                  <c:v>60000</c:v>
                </c:pt>
                <c:pt idx="597">
                  <c:v>60000</c:v>
                </c:pt>
                <c:pt idx="598">
                  <c:v>60000</c:v>
                </c:pt>
                <c:pt idx="599">
                  <c:v>60000</c:v>
                </c:pt>
                <c:pt idx="600">
                  <c:v>60000</c:v>
                </c:pt>
                <c:pt idx="601">
                  <c:v>60000</c:v>
                </c:pt>
                <c:pt idx="602">
                  <c:v>60000</c:v>
                </c:pt>
                <c:pt idx="603">
                  <c:v>60000</c:v>
                </c:pt>
                <c:pt idx="604">
                  <c:v>60000</c:v>
                </c:pt>
                <c:pt idx="605">
                  <c:v>60000</c:v>
                </c:pt>
                <c:pt idx="606">
                  <c:v>60000</c:v>
                </c:pt>
                <c:pt idx="607">
                  <c:v>62000</c:v>
                </c:pt>
                <c:pt idx="608">
                  <c:v>63000</c:v>
                </c:pt>
                <c:pt idx="609">
                  <c:v>64000</c:v>
                </c:pt>
                <c:pt idx="610">
                  <c:v>65000</c:v>
                </c:pt>
                <c:pt idx="611">
                  <c:v>65000</c:v>
                </c:pt>
                <c:pt idx="612">
                  <c:v>65000</c:v>
                </c:pt>
                <c:pt idx="613">
                  <c:v>65000</c:v>
                </c:pt>
                <c:pt idx="614">
                  <c:v>65000</c:v>
                </c:pt>
                <c:pt idx="615">
                  <c:v>65000</c:v>
                </c:pt>
                <c:pt idx="616">
                  <c:v>65400</c:v>
                </c:pt>
                <c:pt idx="617">
                  <c:v>66000</c:v>
                </c:pt>
                <c:pt idx="618">
                  <c:v>67000</c:v>
                </c:pt>
                <c:pt idx="619">
                  <c:v>67000</c:v>
                </c:pt>
                <c:pt idx="620">
                  <c:v>67000</c:v>
                </c:pt>
                <c:pt idx="621">
                  <c:v>67200</c:v>
                </c:pt>
                <c:pt idx="622">
                  <c:v>67500</c:v>
                </c:pt>
                <c:pt idx="623">
                  <c:v>68000</c:v>
                </c:pt>
                <c:pt idx="624">
                  <c:v>68000</c:v>
                </c:pt>
                <c:pt idx="625">
                  <c:v>68000</c:v>
                </c:pt>
                <c:pt idx="626">
                  <c:v>69000</c:v>
                </c:pt>
                <c:pt idx="627">
                  <c:v>70000</c:v>
                </c:pt>
                <c:pt idx="628">
                  <c:v>70000</c:v>
                </c:pt>
                <c:pt idx="629">
                  <c:v>70000</c:v>
                </c:pt>
                <c:pt idx="630">
                  <c:v>70200</c:v>
                </c:pt>
                <c:pt idx="631">
                  <c:v>71000</c:v>
                </c:pt>
                <c:pt idx="632">
                  <c:v>72000</c:v>
                </c:pt>
                <c:pt idx="633">
                  <c:v>72000</c:v>
                </c:pt>
                <c:pt idx="634">
                  <c:v>73000</c:v>
                </c:pt>
                <c:pt idx="635">
                  <c:v>73000</c:v>
                </c:pt>
                <c:pt idx="636">
                  <c:v>74000</c:v>
                </c:pt>
                <c:pt idx="637">
                  <c:v>75000</c:v>
                </c:pt>
                <c:pt idx="638">
                  <c:v>75000</c:v>
                </c:pt>
                <c:pt idx="639">
                  <c:v>75000</c:v>
                </c:pt>
                <c:pt idx="640">
                  <c:v>75000</c:v>
                </c:pt>
                <c:pt idx="641">
                  <c:v>75000</c:v>
                </c:pt>
                <c:pt idx="642">
                  <c:v>75000</c:v>
                </c:pt>
                <c:pt idx="643">
                  <c:v>75000</c:v>
                </c:pt>
                <c:pt idx="644">
                  <c:v>75000</c:v>
                </c:pt>
                <c:pt idx="645">
                  <c:v>75000</c:v>
                </c:pt>
                <c:pt idx="646">
                  <c:v>75000</c:v>
                </c:pt>
                <c:pt idx="647">
                  <c:v>75000</c:v>
                </c:pt>
                <c:pt idx="648">
                  <c:v>76900</c:v>
                </c:pt>
                <c:pt idx="649">
                  <c:v>77000</c:v>
                </c:pt>
                <c:pt idx="650">
                  <c:v>77000</c:v>
                </c:pt>
                <c:pt idx="651">
                  <c:v>77250</c:v>
                </c:pt>
                <c:pt idx="652">
                  <c:v>79000</c:v>
                </c:pt>
                <c:pt idx="653">
                  <c:v>80000</c:v>
                </c:pt>
                <c:pt idx="654">
                  <c:v>80000</c:v>
                </c:pt>
                <c:pt idx="655">
                  <c:v>80000</c:v>
                </c:pt>
                <c:pt idx="656">
                  <c:v>80000</c:v>
                </c:pt>
                <c:pt idx="657">
                  <c:v>80000</c:v>
                </c:pt>
                <c:pt idx="658">
                  <c:v>80000</c:v>
                </c:pt>
                <c:pt idx="659">
                  <c:v>82500</c:v>
                </c:pt>
                <c:pt idx="660">
                  <c:v>83000</c:v>
                </c:pt>
                <c:pt idx="661">
                  <c:v>85000</c:v>
                </c:pt>
                <c:pt idx="662">
                  <c:v>85000</c:v>
                </c:pt>
                <c:pt idx="663">
                  <c:v>85000</c:v>
                </c:pt>
                <c:pt idx="664">
                  <c:v>90000</c:v>
                </c:pt>
                <c:pt idx="665">
                  <c:v>90000</c:v>
                </c:pt>
                <c:pt idx="666">
                  <c:v>95000</c:v>
                </c:pt>
                <c:pt idx="667">
                  <c:v>105000</c:v>
                </c:pt>
                <c:pt idx="668">
                  <c:v>110000</c:v>
                </c:pt>
                <c:pt idx="669">
                  <c:v>130000</c:v>
                </c:pt>
                <c:pt idx="670">
                  <c:v>50000</c:v>
                </c:pt>
                <c:pt idx="671">
                  <c:v>57000</c:v>
                </c:pt>
                <c:pt idx="672">
                  <c:v>60000</c:v>
                </c:pt>
                <c:pt idx="673">
                  <c:v>60000</c:v>
                </c:pt>
                <c:pt idx="674">
                  <c:v>60000</c:v>
                </c:pt>
                <c:pt idx="675">
                  <c:v>60000</c:v>
                </c:pt>
                <c:pt idx="676">
                  <c:v>60000</c:v>
                </c:pt>
                <c:pt idx="677">
                  <c:v>60000</c:v>
                </c:pt>
                <c:pt idx="678">
                  <c:v>60000</c:v>
                </c:pt>
                <c:pt idx="679">
                  <c:v>60000</c:v>
                </c:pt>
                <c:pt idx="680">
                  <c:v>60000</c:v>
                </c:pt>
                <c:pt idx="681">
                  <c:v>60000</c:v>
                </c:pt>
                <c:pt idx="682">
                  <c:v>60000</c:v>
                </c:pt>
                <c:pt idx="683">
                  <c:v>60000</c:v>
                </c:pt>
                <c:pt idx="684">
                  <c:v>60000</c:v>
                </c:pt>
                <c:pt idx="685">
                  <c:v>61200</c:v>
                </c:pt>
                <c:pt idx="686">
                  <c:v>62000</c:v>
                </c:pt>
                <c:pt idx="687">
                  <c:v>63000</c:v>
                </c:pt>
                <c:pt idx="688">
                  <c:v>64000</c:v>
                </c:pt>
                <c:pt idx="689">
                  <c:v>65000</c:v>
                </c:pt>
                <c:pt idx="690">
                  <c:v>66000</c:v>
                </c:pt>
                <c:pt idx="691">
                  <c:v>66000</c:v>
                </c:pt>
                <c:pt idx="692">
                  <c:v>67473</c:v>
                </c:pt>
                <c:pt idx="693">
                  <c:v>70000</c:v>
                </c:pt>
                <c:pt idx="694">
                  <c:v>70000</c:v>
                </c:pt>
                <c:pt idx="695">
                  <c:v>70800</c:v>
                </c:pt>
                <c:pt idx="696">
                  <c:v>72000</c:v>
                </c:pt>
                <c:pt idx="697">
                  <c:v>73000</c:v>
                </c:pt>
                <c:pt idx="698">
                  <c:v>73000</c:v>
                </c:pt>
                <c:pt idx="699">
                  <c:v>74000</c:v>
                </c:pt>
                <c:pt idx="700">
                  <c:v>74000</c:v>
                </c:pt>
                <c:pt idx="701">
                  <c:v>75000</c:v>
                </c:pt>
                <c:pt idx="702">
                  <c:v>75000</c:v>
                </c:pt>
                <c:pt idx="703">
                  <c:v>75000</c:v>
                </c:pt>
                <c:pt idx="704">
                  <c:v>75000</c:v>
                </c:pt>
                <c:pt idx="705">
                  <c:v>76000</c:v>
                </c:pt>
                <c:pt idx="706">
                  <c:v>77000</c:v>
                </c:pt>
                <c:pt idx="707">
                  <c:v>77000</c:v>
                </c:pt>
                <c:pt idx="708">
                  <c:v>78000</c:v>
                </c:pt>
                <c:pt idx="709">
                  <c:v>80000</c:v>
                </c:pt>
                <c:pt idx="710">
                  <c:v>81000</c:v>
                </c:pt>
                <c:pt idx="711">
                  <c:v>81900</c:v>
                </c:pt>
                <c:pt idx="712">
                  <c:v>85000</c:v>
                </c:pt>
                <c:pt idx="713">
                  <c:v>85000</c:v>
                </c:pt>
                <c:pt idx="714">
                  <c:v>85000</c:v>
                </c:pt>
                <c:pt idx="715">
                  <c:v>85000</c:v>
                </c:pt>
                <c:pt idx="716">
                  <c:v>85000</c:v>
                </c:pt>
                <c:pt idx="717">
                  <c:v>88000</c:v>
                </c:pt>
                <c:pt idx="718">
                  <c:v>90000</c:v>
                </c:pt>
                <c:pt idx="719">
                  <c:v>90000</c:v>
                </c:pt>
                <c:pt idx="720">
                  <c:v>90000</c:v>
                </c:pt>
                <c:pt idx="721">
                  <c:v>90000</c:v>
                </c:pt>
                <c:pt idx="722">
                  <c:v>90000</c:v>
                </c:pt>
                <c:pt idx="723">
                  <c:v>90000</c:v>
                </c:pt>
                <c:pt idx="724">
                  <c:v>92500</c:v>
                </c:pt>
                <c:pt idx="725">
                  <c:v>95000</c:v>
                </c:pt>
                <c:pt idx="726">
                  <c:v>99000</c:v>
                </c:pt>
                <c:pt idx="727">
                  <c:v>100000</c:v>
                </c:pt>
                <c:pt idx="728">
                  <c:v>113000</c:v>
                </c:pt>
                <c:pt idx="729">
                  <c:v>120000</c:v>
                </c:pt>
                <c:pt idx="730">
                  <c:v>26400</c:v>
                </c:pt>
                <c:pt idx="731">
                  <c:v>42000</c:v>
                </c:pt>
                <c:pt idx="732">
                  <c:v>45000</c:v>
                </c:pt>
                <c:pt idx="733">
                  <c:v>45000</c:v>
                </c:pt>
                <c:pt idx="734">
                  <c:v>47500</c:v>
                </c:pt>
                <c:pt idx="735">
                  <c:v>48000</c:v>
                </c:pt>
                <c:pt idx="736">
                  <c:v>49000</c:v>
                </c:pt>
                <c:pt idx="737">
                  <c:v>50400</c:v>
                </c:pt>
                <c:pt idx="738">
                  <c:v>55000</c:v>
                </c:pt>
                <c:pt idx="739">
                  <c:v>55000</c:v>
                </c:pt>
                <c:pt idx="740">
                  <c:v>55000</c:v>
                </c:pt>
                <c:pt idx="741">
                  <c:v>56000</c:v>
                </c:pt>
                <c:pt idx="742">
                  <c:v>57600</c:v>
                </c:pt>
                <c:pt idx="743">
                  <c:v>60000</c:v>
                </c:pt>
                <c:pt idx="744">
                  <c:v>60000</c:v>
                </c:pt>
                <c:pt idx="745">
                  <c:v>60000</c:v>
                </c:pt>
                <c:pt idx="746">
                  <c:v>60000</c:v>
                </c:pt>
                <c:pt idx="747">
                  <c:v>60000</c:v>
                </c:pt>
                <c:pt idx="748">
                  <c:v>60000</c:v>
                </c:pt>
                <c:pt idx="749">
                  <c:v>60000</c:v>
                </c:pt>
                <c:pt idx="750">
                  <c:v>61000</c:v>
                </c:pt>
                <c:pt idx="751">
                  <c:v>62000</c:v>
                </c:pt>
                <c:pt idx="752">
                  <c:v>62000</c:v>
                </c:pt>
                <c:pt idx="753">
                  <c:v>62000</c:v>
                </c:pt>
                <c:pt idx="754">
                  <c:v>62000</c:v>
                </c:pt>
                <c:pt idx="755">
                  <c:v>63500</c:v>
                </c:pt>
                <c:pt idx="756">
                  <c:v>65000</c:v>
                </c:pt>
                <c:pt idx="757">
                  <c:v>65000</c:v>
                </c:pt>
                <c:pt idx="758">
                  <c:v>65000</c:v>
                </c:pt>
                <c:pt idx="759">
                  <c:v>65000</c:v>
                </c:pt>
                <c:pt idx="760">
                  <c:v>65000</c:v>
                </c:pt>
                <c:pt idx="761">
                  <c:v>65000</c:v>
                </c:pt>
                <c:pt idx="762">
                  <c:v>65000</c:v>
                </c:pt>
                <c:pt idx="763">
                  <c:v>65000</c:v>
                </c:pt>
                <c:pt idx="764">
                  <c:v>65600</c:v>
                </c:pt>
                <c:pt idx="765">
                  <c:v>66000</c:v>
                </c:pt>
                <c:pt idx="766">
                  <c:v>67000</c:v>
                </c:pt>
                <c:pt idx="767">
                  <c:v>68000</c:v>
                </c:pt>
                <c:pt idx="768">
                  <c:v>68000</c:v>
                </c:pt>
                <c:pt idx="769">
                  <c:v>68000</c:v>
                </c:pt>
                <c:pt idx="770">
                  <c:v>68000</c:v>
                </c:pt>
                <c:pt idx="771">
                  <c:v>68000</c:v>
                </c:pt>
                <c:pt idx="772">
                  <c:v>68000</c:v>
                </c:pt>
                <c:pt idx="773">
                  <c:v>68500</c:v>
                </c:pt>
                <c:pt idx="774">
                  <c:v>68500</c:v>
                </c:pt>
                <c:pt idx="775">
                  <c:v>70000</c:v>
                </c:pt>
                <c:pt idx="776">
                  <c:v>70000</c:v>
                </c:pt>
                <c:pt idx="777">
                  <c:v>70000</c:v>
                </c:pt>
                <c:pt idx="778">
                  <c:v>70000</c:v>
                </c:pt>
                <c:pt idx="779">
                  <c:v>70000</c:v>
                </c:pt>
                <c:pt idx="780">
                  <c:v>70000</c:v>
                </c:pt>
                <c:pt idx="781">
                  <c:v>70000</c:v>
                </c:pt>
                <c:pt idx="782">
                  <c:v>70000</c:v>
                </c:pt>
                <c:pt idx="783">
                  <c:v>70000</c:v>
                </c:pt>
                <c:pt idx="784">
                  <c:v>70500</c:v>
                </c:pt>
                <c:pt idx="785">
                  <c:v>71000</c:v>
                </c:pt>
                <c:pt idx="786">
                  <c:v>71060</c:v>
                </c:pt>
                <c:pt idx="787">
                  <c:v>72000</c:v>
                </c:pt>
                <c:pt idx="788">
                  <c:v>74000</c:v>
                </c:pt>
                <c:pt idx="789">
                  <c:v>74000</c:v>
                </c:pt>
                <c:pt idx="790">
                  <c:v>75000</c:v>
                </c:pt>
                <c:pt idx="791">
                  <c:v>75000</c:v>
                </c:pt>
                <c:pt idx="792">
                  <c:v>75000</c:v>
                </c:pt>
                <c:pt idx="793">
                  <c:v>75000</c:v>
                </c:pt>
                <c:pt idx="794">
                  <c:v>75000</c:v>
                </c:pt>
                <c:pt idx="795">
                  <c:v>75000</c:v>
                </c:pt>
                <c:pt idx="796">
                  <c:v>75000</c:v>
                </c:pt>
                <c:pt idx="797">
                  <c:v>75000</c:v>
                </c:pt>
                <c:pt idx="798">
                  <c:v>75000</c:v>
                </c:pt>
                <c:pt idx="799">
                  <c:v>75000</c:v>
                </c:pt>
                <c:pt idx="800">
                  <c:v>75000</c:v>
                </c:pt>
                <c:pt idx="801">
                  <c:v>75000</c:v>
                </c:pt>
                <c:pt idx="802">
                  <c:v>75000</c:v>
                </c:pt>
                <c:pt idx="803">
                  <c:v>75000</c:v>
                </c:pt>
                <c:pt idx="804">
                  <c:v>76000</c:v>
                </c:pt>
                <c:pt idx="805">
                  <c:v>77000</c:v>
                </c:pt>
                <c:pt idx="806">
                  <c:v>78000</c:v>
                </c:pt>
                <c:pt idx="807">
                  <c:v>78000</c:v>
                </c:pt>
                <c:pt idx="808">
                  <c:v>78000</c:v>
                </c:pt>
                <c:pt idx="809">
                  <c:v>78000</c:v>
                </c:pt>
                <c:pt idx="810">
                  <c:v>78000</c:v>
                </c:pt>
                <c:pt idx="811">
                  <c:v>79000</c:v>
                </c:pt>
                <c:pt idx="812">
                  <c:v>79000</c:v>
                </c:pt>
                <c:pt idx="813">
                  <c:v>80000</c:v>
                </c:pt>
                <c:pt idx="814">
                  <c:v>80000</c:v>
                </c:pt>
                <c:pt idx="815">
                  <c:v>80000</c:v>
                </c:pt>
                <c:pt idx="816">
                  <c:v>80000</c:v>
                </c:pt>
                <c:pt idx="817">
                  <c:v>80000</c:v>
                </c:pt>
                <c:pt idx="818">
                  <c:v>80000</c:v>
                </c:pt>
                <c:pt idx="819">
                  <c:v>80000</c:v>
                </c:pt>
                <c:pt idx="820">
                  <c:v>80000</c:v>
                </c:pt>
                <c:pt idx="821">
                  <c:v>80000</c:v>
                </c:pt>
                <c:pt idx="822">
                  <c:v>81000</c:v>
                </c:pt>
                <c:pt idx="823">
                  <c:v>82000</c:v>
                </c:pt>
                <c:pt idx="824">
                  <c:v>82000</c:v>
                </c:pt>
                <c:pt idx="825">
                  <c:v>82000</c:v>
                </c:pt>
                <c:pt idx="826">
                  <c:v>82000</c:v>
                </c:pt>
                <c:pt idx="827">
                  <c:v>85000</c:v>
                </c:pt>
                <c:pt idx="828">
                  <c:v>85000</c:v>
                </c:pt>
                <c:pt idx="829">
                  <c:v>85000</c:v>
                </c:pt>
                <c:pt idx="830">
                  <c:v>85000</c:v>
                </c:pt>
                <c:pt idx="831">
                  <c:v>85000</c:v>
                </c:pt>
                <c:pt idx="832">
                  <c:v>85000</c:v>
                </c:pt>
                <c:pt idx="833">
                  <c:v>85000</c:v>
                </c:pt>
                <c:pt idx="834">
                  <c:v>85000</c:v>
                </c:pt>
                <c:pt idx="835">
                  <c:v>85000</c:v>
                </c:pt>
                <c:pt idx="836">
                  <c:v>86000</c:v>
                </c:pt>
                <c:pt idx="837">
                  <c:v>87550</c:v>
                </c:pt>
                <c:pt idx="838">
                  <c:v>88000</c:v>
                </c:pt>
                <c:pt idx="839">
                  <c:v>88000</c:v>
                </c:pt>
                <c:pt idx="840">
                  <c:v>89000</c:v>
                </c:pt>
                <c:pt idx="841">
                  <c:v>90000</c:v>
                </c:pt>
                <c:pt idx="842">
                  <c:v>90000</c:v>
                </c:pt>
                <c:pt idx="843">
                  <c:v>90000</c:v>
                </c:pt>
                <c:pt idx="844">
                  <c:v>90000</c:v>
                </c:pt>
                <c:pt idx="845">
                  <c:v>92000</c:v>
                </c:pt>
                <c:pt idx="846">
                  <c:v>93000</c:v>
                </c:pt>
                <c:pt idx="847">
                  <c:v>95000</c:v>
                </c:pt>
                <c:pt idx="848">
                  <c:v>95000</c:v>
                </c:pt>
                <c:pt idx="849">
                  <c:v>96000</c:v>
                </c:pt>
                <c:pt idx="850">
                  <c:v>100000</c:v>
                </c:pt>
                <c:pt idx="851">
                  <c:v>100000</c:v>
                </c:pt>
                <c:pt idx="852">
                  <c:v>100000</c:v>
                </c:pt>
                <c:pt idx="853">
                  <c:v>100000</c:v>
                </c:pt>
                <c:pt idx="854">
                  <c:v>100000</c:v>
                </c:pt>
                <c:pt idx="855">
                  <c:v>100000</c:v>
                </c:pt>
                <c:pt idx="856">
                  <c:v>105000</c:v>
                </c:pt>
                <c:pt idx="857">
                  <c:v>110000</c:v>
                </c:pt>
                <c:pt idx="858">
                  <c:v>110000</c:v>
                </c:pt>
                <c:pt idx="859">
                  <c:v>115000</c:v>
                </c:pt>
                <c:pt idx="860">
                  <c:v>115000</c:v>
                </c:pt>
                <c:pt idx="861">
                  <c:v>115000</c:v>
                </c:pt>
                <c:pt idx="862">
                  <c:v>120000</c:v>
                </c:pt>
                <c:pt idx="863">
                  <c:v>120000</c:v>
                </c:pt>
                <c:pt idx="864">
                  <c:v>120000</c:v>
                </c:pt>
                <c:pt idx="865">
                  <c:v>130000</c:v>
                </c:pt>
                <c:pt idx="866">
                  <c:v>151872</c:v>
                </c:pt>
                <c:pt idx="867">
                  <c:v>200000</c:v>
                </c:pt>
                <c:pt idx="868">
                  <c:v>32000</c:v>
                </c:pt>
                <c:pt idx="869">
                  <c:v>35000</c:v>
                </c:pt>
                <c:pt idx="870">
                  <c:v>55000</c:v>
                </c:pt>
                <c:pt idx="871">
                  <c:v>55000</c:v>
                </c:pt>
                <c:pt idx="872">
                  <c:v>57000</c:v>
                </c:pt>
                <c:pt idx="873">
                  <c:v>60000</c:v>
                </c:pt>
                <c:pt idx="874">
                  <c:v>60000</c:v>
                </c:pt>
                <c:pt idx="875">
                  <c:v>60000</c:v>
                </c:pt>
                <c:pt idx="876">
                  <c:v>60000</c:v>
                </c:pt>
                <c:pt idx="877">
                  <c:v>65000</c:v>
                </c:pt>
                <c:pt idx="878">
                  <c:v>65000</c:v>
                </c:pt>
                <c:pt idx="879">
                  <c:v>65000</c:v>
                </c:pt>
                <c:pt idx="880">
                  <c:v>66000</c:v>
                </c:pt>
                <c:pt idx="881">
                  <c:v>68000</c:v>
                </c:pt>
                <c:pt idx="882">
                  <c:v>70000</c:v>
                </c:pt>
                <c:pt idx="883">
                  <c:v>70000</c:v>
                </c:pt>
                <c:pt idx="884">
                  <c:v>72500</c:v>
                </c:pt>
                <c:pt idx="885">
                  <c:v>73000</c:v>
                </c:pt>
                <c:pt idx="886">
                  <c:v>74000</c:v>
                </c:pt>
                <c:pt idx="887">
                  <c:v>74400</c:v>
                </c:pt>
                <c:pt idx="888">
                  <c:v>75000</c:v>
                </c:pt>
                <c:pt idx="889">
                  <c:v>75000</c:v>
                </c:pt>
                <c:pt idx="890">
                  <c:v>75000</c:v>
                </c:pt>
                <c:pt idx="891">
                  <c:v>75000</c:v>
                </c:pt>
                <c:pt idx="892">
                  <c:v>80000</c:v>
                </c:pt>
                <c:pt idx="893">
                  <c:v>80000</c:v>
                </c:pt>
                <c:pt idx="894">
                  <c:v>80000</c:v>
                </c:pt>
                <c:pt idx="895">
                  <c:v>80000</c:v>
                </c:pt>
                <c:pt idx="896">
                  <c:v>80000</c:v>
                </c:pt>
                <c:pt idx="897">
                  <c:v>80000</c:v>
                </c:pt>
                <c:pt idx="898">
                  <c:v>80000</c:v>
                </c:pt>
                <c:pt idx="899">
                  <c:v>80000</c:v>
                </c:pt>
                <c:pt idx="900">
                  <c:v>81000</c:v>
                </c:pt>
                <c:pt idx="901">
                  <c:v>81200</c:v>
                </c:pt>
                <c:pt idx="902">
                  <c:v>85000</c:v>
                </c:pt>
                <c:pt idx="903">
                  <c:v>90000</c:v>
                </c:pt>
                <c:pt idx="904">
                  <c:v>90000</c:v>
                </c:pt>
                <c:pt idx="905">
                  <c:v>93000</c:v>
                </c:pt>
                <c:pt idx="906">
                  <c:v>100000</c:v>
                </c:pt>
                <c:pt idx="907">
                  <c:v>107000</c:v>
                </c:pt>
                <c:pt idx="908">
                  <c:v>140000</c:v>
                </c:pt>
                <c:pt idx="909">
                  <c:v>154000</c:v>
                </c:pt>
                <c:pt idx="910">
                  <c:v>180000</c:v>
                </c:pt>
                <c:pt idx="911">
                  <c:v>47500</c:v>
                </c:pt>
                <c:pt idx="912">
                  <c:v>54000</c:v>
                </c:pt>
                <c:pt idx="913">
                  <c:v>54000</c:v>
                </c:pt>
                <c:pt idx="914">
                  <c:v>56000</c:v>
                </c:pt>
                <c:pt idx="915">
                  <c:v>56000</c:v>
                </c:pt>
                <c:pt idx="916">
                  <c:v>60000</c:v>
                </c:pt>
                <c:pt idx="917">
                  <c:v>60000</c:v>
                </c:pt>
                <c:pt idx="918">
                  <c:v>62000</c:v>
                </c:pt>
                <c:pt idx="919">
                  <c:v>62000</c:v>
                </c:pt>
                <c:pt idx="920">
                  <c:v>63000</c:v>
                </c:pt>
                <c:pt idx="921">
                  <c:v>65000</c:v>
                </c:pt>
                <c:pt idx="922">
                  <c:v>65000</c:v>
                </c:pt>
                <c:pt idx="923">
                  <c:v>65000</c:v>
                </c:pt>
                <c:pt idx="924">
                  <c:v>66000</c:v>
                </c:pt>
                <c:pt idx="925">
                  <c:v>66300</c:v>
                </c:pt>
                <c:pt idx="926">
                  <c:v>66800</c:v>
                </c:pt>
                <c:pt idx="927">
                  <c:v>67000</c:v>
                </c:pt>
                <c:pt idx="928">
                  <c:v>68000</c:v>
                </c:pt>
                <c:pt idx="929">
                  <c:v>68000</c:v>
                </c:pt>
                <c:pt idx="930">
                  <c:v>70000</c:v>
                </c:pt>
                <c:pt idx="931">
                  <c:v>70000</c:v>
                </c:pt>
                <c:pt idx="932">
                  <c:v>70000</c:v>
                </c:pt>
                <c:pt idx="933">
                  <c:v>70000</c:v>
                </c:pt>
                <c:pt idx="934">
                  <c:v>70000</c:v>
                </c:pt>
                <c:pt idx="935">
                  <c:v>70200</c:v>
                </c:pt>
                <c:pt idx="936">
                  <c:v>72000</c:v>
                </c:pt>
                <c:pt idx="937">
                  <c:v>72000</c:v>
                </c:pt>
                <c:pt idx="938">
                  <c:v>73000</c:v>
                </c:pt>
                <c:pt idx="939">
                  <c:v>74000</c:v>
                </c:pt>
                <c:pt idx="940">
                  <c:v>74000</c:v>
                </c:pt>
                <c:pt idx="941">
                  <c:v>75000</c:v>
                </c:pt>
                <c:pt idx="942">
                  <c:v>75000</c:v>
                </c:pt>
                <c:pt idx="943">
                  <c:v>75000</c:v>
                </c:pt>
                <c:pt idx="944">
                  <c:v>75000</c:v>
                </c:pt>
                <c:pt idx="945">
                  <c:v>75000</c:v>
                </c:pt>
                <c:pt idx="946">
                  <c:v>77000</c:v>
                </c:pt>
                <c:pt idx="947">
                  <c:v>77500</c:v>
                </c:pt>
                <c:pt idx="948">
                  <c:v>78000</c:v>
                </c:pt>
                <c:pt idx="949">
                  <c:v>80000</c:v>
                </c:pt>
                <c:pt idx="950">
                  <c:v>82000</c:v>
                </c:pt>
                <c:pt idx="951">
                  <c:v>83000</c:v>
                </c:pt>
                <c:pt idx="952">
                  <c:v>85000</c:v>
                </c:pt>
                <c:pt idx="953">
                  <c:v>85000</c:v>
                </c:pt>
                <c:pt idx="954">
                  <c:v>85000</c:v>
                </c:pt>
                <c:pt idx="955">
                  <c:v>88000</c:v>
                </c:pt>
                <c:pt idx="956">
                  <c:v>89200</c:v>
                </c:pt>
                <c:pt idx="957">
                  <c:v>90000</c:v>
                </c:pt>
                <c:pt idx="958">
                  <c:v>90000</c:v>
                </c:pt>
                <c:pt idx="959">
                  <c:v>90000</c:v>
                </c:pt>
                <c:pt idx="960">
                  <c:v>92000</c:v>
                </c:pt>
                <c:pt idx="961">
                  <c:v>94000</c:v>
                </c:pt>
                <c:pt idx="962">
                  <c:v>95000</c:v>
                </c:pt>
                <c:pt idx="963">
                  <c:v>95000</c:v>
                </c:pt>
                <c:pt idx="964">
                  <c:v>95000</c:v>
                </c:pt>
                <c:pt idx="965">
                  <c:v>95000</c:v>
                </c:pt>
                <c:pt idx="966">
                  <c:v>95000</c:v>
                </c:pt>
                <c:pt idx="967">
                  <c:v>95000</c:v>
                </c:pt>
                <c:pt idx="968">
                  <c:v>100000</c:v>
                </c:pt>
                <c:pt idx="969">
                  <c:v>100000</c:v>
                </c:pt>
                <c:pt idx="970">
                  <c:v>100000</c:v>
                </c:pt>
                <c:pt idx="971">
                  <c:v>102000</c:v>
                </c:pt>
                <c:pt idx="972">
                  <c:v>105000</c:v>
                </c:pt>
                <c:pt idx="973">
                  <c:v>108000</c:v>
                </c:pt>
                <c:pt idx="974">
                  <c:v>120000</c:v>
                </c:pt>
                <c:pt idx="975">
                  <c:v>120000</c:v>
                </c:pt>
                <c:pt idx="976">
                  <c:v>120000</c:v>
                </c:pt>
                <c:pt idx="977">
                  <c:v>120000</c:v>
                </c:pt>
                <c:pt idx="978">
                  <c:v>150000</c:v>
                </c:pt>
                <c:pt idx="979">
                  <c:v>45000</c:v>
                </c:pt>
                <c:pt idx="980">
                  <c:v>47745</c:v>
                </c:pt>
                <c:pt idx="981">
                  <c:v>48000</c:v>
                </c:pt>
                <c:pt idx="982">
                  <c:v>65000</c:v>
                </c:pt>
                <c:pt idx="983">
                  <c:v>68000</c:v>
                </c:pt>
                <c:pt idx="984">
                  <c:v>70000</c:v>
                </c:pt>
                <c:pt idx="985">
                  <c:v>70000</c:v>
                </c:pt>
                <c:pt idx="986">
                  <c:v>70000</c:v>
                </c:pt>
                <c:pt idx="987">
                  <c:v>70000</c:v>
                </c:pt>
                <c:pt idx="988">
                  <c:v>70000</c:v>
                </c:pt>
                <c:pt idx="989">
                  <c:v>70000</c:v>
                </c:pt>
                <c:pt idx="990">
                  <c:v>70000</c:v>
                </c:pt>
                <c:pt idx="991">
                  <c:v>70000</c:v>
                </c:pt>
                <c:pt idx="992">
                  <c:v>72000</c:v>
                </c:pt>
                <c:pt idx="993">
                  <c:v>72000</c:v>
                </c:pt>
                <c:pt idx="994">
                  <c:v>75000</c:v>
                </c:pt>
                <c:pt idx="995">
                  <c:v>77000</c:v>
                </c:pt>
                <c:pt idx="996">
                  <c:v>78600</c:v>
                </c:pt>
                <c:pt idx="997">
                  <c:v>80000</c:v>
                </c:pt>
                <c:pt idx="998">
                  <c:v>83000</c:v>
                </c:pt>
                <c:pt idx="999">
                  <c:v>83000</c:v>
                </c:pt>
                <c:pt idx="1000">
                  <c:v>85000</c:v>
                </c:pt>
                <c:pt idx="1001">
                  <c:v>85000</c:v>
                </c:pt>
                <c:pt idx="1002">
                  <c:v>85000</c:v>
                </c:pt>
                <c:pt idx="1003">
                  <c:v>85000</c:v>
                </c:pt>
                <c:pt idx="1004">
                  <c:v>85000</c:v>
                </c:pt>
                <c:pt idx="1005">
                  <c:v>89570</c:v>
                </c:pt>
                <c:pt idx="1006">
                  <c:v>90000</c:v>
                </c:pt>
                <c:pt idx="1007">
                  <c:v>90000</c:v>
                </c:pt>
                <c:pt idx="1008">
                  <c:v>90000</c:v>
                </c:pt>
                <c:pt idx="1009">
                  <c:v>90000</c:v>
                </c:pt>
                <c:pt idx="1010">
                  <c:v>90000</c:v>
                </c:pt>
                <c:pt idx="1011">
                  <c:v>95000</c:v>
                </c:pt>
                <c:pt idx="1012">
                  <c:v>95000</c:v>
                </c:pt>
                <c:pt idx="1013">
                  <c:v>103000</c:v>
                </c:pt>
                <c:pt idx="1014">
                  <c:v>103000</c:v>
                </c:pt>
                <c:pt idx="1015">
                  <c:v>105000</c:v>
                </c:pt>
                <c:pt idx="1016">
                  <c:v>108000</c:v>
                </c:pt>
                <c:pt idx="1017">
                  <c:v>108000</c:v>
                </c:pt>
                <c:pt idx="1018">
                  <c:v>110000</c:v>
                </c:pt>
                <c:pt idx="1019">
                  <c:v>140000</c:v>
                </c:pt>
                <c:pt idx="1020">
                  <c:v>44000</c:v>
                </c:pt>
                <c:pt idx="1021">
                  <c:v>57000</c:v>
                </c:pt>
                <c:pt idx="1022">
                  <c:v>60000</c:v>
                </c:pt>
                <c:pt idx="1023">
                  <c:v>62000</c:v>
                </c:pt>
                <c:pt idx="1024">
                  <c:v>65000</c:v>
                </c:pt>
                <c:pt idx="1025">
                  <c:v>67000</c:v>
                </c:pt>
                <c:pt idx="1026">
                  <c:v>68000</c:v>
                </c:pt>
                <c:pt idx="1027">
                  <c:v>69000</c:v>
                </c:pt>
                <c:pt idx="1028">
                  <c:v>70000</c:v>
                </c:pt>
                <c:pt idx="1029">
                  <c:v>70000</c:v>
                </c:pt>
                <c:pt idx="1030">
                  <c:v>70000</c:v>
                </c:pt>
                <c:pt idx="1031">
                  <c:v>72000</c:v>
                </c:pt>
                <c:pt idx="1032">
                  <c:v>72000</c:v>
                </c:pt>
                <c:pt idx="1033">
                  <c:v>75000</c:v>
                </c:pt>
                <c:pt idx="1034">
                  <c:v>75000</c:v>
                </c:pt>
                <c:pt idx="1035">
                  <c:v>75000</c:v>
                </c:pt>
                <c:pt idx="1036">
                  <c:v>77000</c:v>
                </c:pt>
                <c:pt idx="1037">
                  <c:v>78000</c:v>
                </c:pt>
                <c:pt idx="1038">
                  <c:v>80000</c:v>
                </c:pt>
                <c:pt idx="1039">
                  <c:v>80000</c:v>
                </c:pt>
                <c:pt idx="1040">
                  <c:v>80000</c:v>
                </c:pt>
                <c:pt idx="1041">
                  <c:v>80000</c:v>
                </c:pt>
                <c:pt idx="1042">
                  <c:v>80000</c:v>
                </c:pt>
                <c:pt idx="1043">
                  <c:v>80000</c:v>
                </c:pt>
                <c:pt idx="1044">
                  <c:v>80000</c:v>
                </c:pt>
                <c:pt idx="1045">
                  <c:v>81500</c:v>
                </c:pt>
                <c:pt idx="1046">
                  <c:v>84000</c:v>
                </c:pt>
                <c:pt idx="1047">
                  <c:v>84000</c:v>
                </c:pt>
                <c:pt idx="1048">
                  <c:v>84000</c:v>
                </c:pt>
                <c:pt idx="1049">
                  <c:v>90000</c:v>
                </c:pt>
                <c:pt idx="1050">
                  <c:v>95000</c:v>
                </c:pt>
                <c:pt idx="1051">
                  <c:v>95000</c:v>
                </c:pt>
                <c:pt idx="1052">
                  <c:v>95000</c:v>
                </c:pt>
                <c:pt idx="1053">
                  <c:v>95000</c:v>
                </c:pt>
                <c:pt idx="1054">
                  <c:v>95000</c:v>
                </c:pt>
                <c:pt idx="1055">
                  <c:v>96000</c:v>
                </c:pt>
                <c:pt idx="1056">
                  <c:v>98000</c:v>
                </c:pt>
                <c:pt idx="1057">
                  <c:v>100000</c:v>
                </c:pt>
                <c:pt idx="1058">
                  <c:v>135000</c:v>
                </c:pt>
                <c:pt idx="1059">
                  <c:v>30000</c:v>
                </c:pt>
                <c:pt idx="1060">
                  <c:v>40700</c:v>
                </c:pt>
                <c:pt idx="1061">
                  <c:v>50000</c:v>
                </c:pt>
                <c:pt idx="1062">
                  <c:v>52000</c:v>
                </c:pt>
                <c:pt idx="1063">
                  <c:v>52500</c:v>
                </c:pt>
                <c:pt idx="1064">
                  <c:v>53000</c:v>
                </c:pt>
                <c:pt idx="1065">
                  <c:v>55000</c:v>
                </c:pt>
                <c:pt idx="1066">
                  <c:v>56000</c:v>
                </c:pt>
                <c:pt idx="1067">
                  <c:v>56400</c:v>
                </c:pt>
                <c:pt idx="1068">
                  <c:v>59000</c:v>
                </c:pt>
                <c:pt idx="1069">
                  <c:v>60000</c:v>
                </c:pt>
                <c:pt idx="1070">
                  <c:v>60000</c:v>
                </c:pt>
                <c:pt idx="1071">
                  <c:v>63000</c:v>
                </c:pt>
                <c:pt idx="1072">
                  <c:v>67000</c:v>
                </c:pt>
                <c:pt idx="1073">
                  <c:v>67500</c:v>
                </c:pt>
                <c:pt idx="1074">
                  <c:v>68000</c:v>
                </c:pt>
                <c:pt idx="1075">
                  <c:v>70000</c:v>
                </c:pt>
                <c:pt idx="1076">
                  <c:v>70000</c:v>
                </c:pt>
                <c:pt idx="1077">
                  <c:v>70000</c:v>
                </c:pt>
                <c:pt idx="1078">
                  <c:v>70000</c:v>
                </c:pt>
                <c:pt idx="1079">
                  <c:v>70000</c:v>
                </c:pt>
                <c:pt idx="1080">
                  <c:v>70000</c:v>
                </c:pt>
                <c:pt idx="1081">
                  <c:v>70000</c:v>
                </c:pt>
                <c:pt idx="1082">
                  <c:v>72000</c:v>
                </c:pt>
                <c:pt idx="1083">
                  <c:v>72000</c:v>
                </c:pt>
                <c:pt idx="1084">
                  <c:v>73000</c:v>
                </c:pt>
                <c:pt idx="1085">
                  <c:v>75000</c:v>
                </c:pt>
                <c:pt idx="1086">
                  <c:v>75000</c:v>
                </c:pt>
                <c:pt idx="1087">
                  <c:v>75000</c:v>
                </c:pt>
                <c:pt idx="1088">
                  <c:v>76000</c:v>
                </c:pt>
                <c:pt idx="1089">
                  <c:v>77000</c:v>
                </c:pt>
                <c:pt idx="1090">
                  <c:v>78000</c:v>
                </c:pt>
                <c:pt idx="1091">
                  <c:v>78000</c:v>
                </c:pt>
                <c:pt idx="1092">
                  <c:v>79300</c:v>
                </c:pt>
                <c:pt idx="1093">
                  <c:v>80000</c:v>
                </c:pt>
                <c:pt idx="1094">
                  <c:v>80000</c:v>
                </c:pt>
                <c:pt idx="1095">
                  <c:v>80000</c:v>
                </c:pt>
                <c:pt idx="1096">
                  <c:v>80000</c:v>
                </c:pt>
                <c:pt idx="1097">
                  <c:v>80000</c:v>
                </c:pt>
                <c:pt idx="1098">
                  <c:v>80000</c:v>
                </c:pt>
                <c:pt idx="1099">
                  <c:v>80000</c:v>
                </c:pt>
                <c:pt idx="1100">
                  <c:v>83000</c:v>
                </c:pt>
                <c:pt idx="1101">
                  <c:v>84700</c:v>
                </c:pt>
                <c:pt idx="1102">
                  <c:v>85000</c:v>
                </c:pt>
                <c:pt idx="1103">
                  <c:v>85000</c:v>
                </c:pt>
                <c:pt idx="1104">
                  <c:v>85000</c:v>
                </c:pt>
                <c:pt idx="1105">
                  <c:v>85000</c:v>
                </c:pt>
                <c:pt idx="1106">
                  <c:v>85000</c:v>
                </c:pt>
                <c:pt idx="1107">
                  <c:v>90000</c:v>
                </c:pt>
                <c:pt idx="1108">
                  <c:v>90000</c:v>
                </c:pt>
                <c:pt idx="1109">
                  <c:v>90000</c:v>
                </c:pt>
                <c:pt idx="1110">
                  <c:v>90000</c:v>
                </c:pt>
                <c:pt idx="1111">
                  <c:v>95000</c:v>
                </c:pt>
                <c:pt idx="1112">
                  <c:v>99000</c:v>
                </c:pt>
                <c:pt idx="1113">
                  <c:v>100000</c:v>
                </c:pt>
                <c:pt idx="1114">
                  <c:v>100000</c:v>
                </c:pt>
                <c:pt idx="1115">
                  <c:v>100000</c:v>
                </c:pt>
                <c:pt idx="1116">
                  <c:v>100000</c:v>
                </c:pt>
                <c:pt idx="1117">
                  <c:v>100000</c:v>
                </c:pt>
                <c:pt idx="1118">
                  <c:v>110000</c:v>
                </c:pt>
                <c:pt idx="1119">
                  <c:v>120000</c:v>
                </c:pt>
                <c:pt idx="1120">
                  <c:v>150000</c:v>
                </c:pt>
                <c:pt idx="1121">
                  <c:v>150000</c:v>
                </c:pt>
                <c:pt idx="1122">
                  <c:v>172000</c:v>
                </c:pt>
                <c:pt idx="1123">
                  <c:v>36000</c:v>
                </c:pt>
                <c:pt idx="1124">
                  <c:v>62400</c:v>
                </c:pt>
                <c:pt idx="1125">
                  <c:v>62500</c:v>
                </c:pt>
                <c:pt idx="1126">
                  <c:v>65000</c:v>
                </c:pt>
                <c:pt idx="1127">
                  <c:v>65000</c:v>
                </c:pt>
                <c:pt idx="1128">
                  <c:v>65000</c:v>
                </c:pt>
                <c:pt idx="1129">
                  <c:v>65000</c:v>
                </c:pt>
                <c:pt idx="1130">
                  <c:v>72000</c:v>
                </c:pt>
                <c:pt idx="1131">
                  <c:v>80000</c:v>
                </c:pt>
                <c:pt idx="1132">
                  <c:v>83000</c:v>
                </c:pt>
                <c:pt idx="1133">
                  <c:v>83000</c:v>
                </c:pt>
                <c:pt idx="1134">
                  <c:v>84000</c:v>
                </c:pt>
                <c:pt idx="1135">
                  <c:v>85000</c:v>
                </c:pt>
                <c:pt idx="1136">
                  <c:v>90000</c:v>
                </c:pt>
                <c:pt idx="1137">
                  <c:v>91000</c:v>
                </c:pt>
                <c:pt idx="1138">
                  <c:v>95000</c:v>
                </c:pt>
                <c:pt idx="1139">
                  <c:v>99000</c:v>
                </c:pt>
                <c:pt idx="1140">
                  <c:v>100000</c:v>
                </c:pt>
                <c:pt idx="1141">
                  <c:v>105000</c:v>
                </c:pt>
                <c:pt idx="1142">
                  <c:v>120000</c:v>
                </c:pt>
                <c:pt idx="1143">
                  <c:v>62000</c:v>
                </c:pt>
                <c:pt idx="1144">
                  <c:v>64000</c:v>
                </c:pt>
                <c:pt idx="1145">
                  <c:v>68500</c:v>
                </c:pt>
                <c:pt idx="1146">
                  <c:v>70000</c:v>
                </c:pt>
                <c:pt idx="1147">
                  <c:v>72000</c:v>
                </c:pt>
                <c:pt idx="1148">
                  <c:v>75000</c:v>
                </c:pt>
                <c:pt idx="1149">
                  <c:v>77000</c:v>
                </c:pt>
                <c:pt idx="1150">
                  <c:v>81000</c:v>
                </c:pt>
                <c:pt idx="1151">
                  <c:v>85000</c:v>
                </c:pt>
                <c:pt idx="1152">
                  <c:v>90000</c:v>
                </c:pt>
                <c:pt idx="1153">
                  <c:v>120000</c:v>
                </c:pt>
                <c:pt idx="1154">
                  <c:v>124000</c:v>
                </c:pt>
                <c:pt idx="1155">
                  <c:v>53000</c:v>
                </c:pt>
                <c:pt idx="1156">
                  <c:v>60000</c:v>
                </c:pt>
                <c:pt idx="1157">
                  <c:v>65000</c:v>
                </c:pt>
                <c:pt idx="1158">
                  <c:v>72000</c:v>
                </c:pt>
                <c:pt idx="1159">
                  <c:v>78000</c:v>
                </c:pt>
                <c:pt idx="1160">
                  <c:v>78000</c:v>
                </c:pt>
                <c:pt idx="1161">
                  <c:v>80000</c:v>
                </c:pt>
                <c:pt idx="1162">
                  <c:v>81000</c:v>
                </c:pt>
                <c:pt idx="1163">
                  <c:v>90000</c:v>
                </c:pt>
                <c:pt idx="1164">
                  <c:v>98000</c:v>
                </c:pt>
                <c:pt idx="1165">
                  <c:v>100000</c:v>
                </c:pt>
                <c:pt idx="1166">
                  <c:v>115000</c:v>
                </c:pt>
                <c:pt idx="1167">
                  <c:v>120000</c:v>
                </c:pt>
                <c:pt idx="1168">
                  <c:v>156000</c:v>
                </c:pt>
                <c:pt idx="1169">
                  <c:v>160000</c:v>
                </c:pt>
                <c:pt idx="1170">
                  <c:v>66000</c:v>
                </c:pt>
                <c:pt idx="1171">
                  <c:v>69000</c:v>
                </c:pt>
                <c:pt idx="1172">
                  <c:v>75000</c:v>
                </c:pt>
                <c:pt idx="1173">
                  <c:v>87000</c:v>
                </c:pt>
                <c:pt idx="1174">
                  <c:v>90000</c:v>
                </c:pt>
                <c:pt idx="1175">
                  <c:v>95500</c:v>
                </c:pt>
                <c:pt idx="1176">
                  <c:v>123600</c:v>
                </c:pt>
                <c:pt idx="1177">
                  <c:v>36000</c:v>
                </c:pt>
                <c:pt idx="1178">
                  <c:v>44000</c:v>
                </c:pt>
                <c:pt idx="1179">
                  <c:v>54000</c:v>
                </c:pt>
                <c:pt idx="1180">
                  <c:v>55000</c:v>
                </c:pt>
                <c:pt idx="1181">
                  <c:v>58800</c:v>
                </c:pt>
                <c:pt idx="1182">
                  <c:v>65000</c:v>
                </c:pt>
                <c:pt idx="1183">
                  <c:v>70000</c:v>
                </c:pt>
                <c:pt idx="1184">
                  <c:v>70000</c:v>
                </c:pt>
                <c:pt idx="1185">
                  <c:v>74000</c:v>
                </c:pt>
                <c:pt idx="1186">
                  <c:v>75000</c:v>
                </c:pt>
                <c:pt idx="1187">
                  <c:v>75000</c:v>
                </c:pt>
                <c:pt idx="1188">
                  <c:v>79000</c:v>
                </c:pt>
                <c:pt idx="1189">
                  <c:v>80000</c:v>
                </c:pt>
                <c:pt idx="1190">
                  <c:v>80000</c:v>
                </c:pt>
                <c:pt idx="1191">
                  <c:v>80000</c:v>
                </c:pt>
                <c:pt idx="1192">
                  <c:v>82000</c:v>
                </c:pt>
                <c:pt idx="1193">
                  <c:v>85000</c:v>
                </c:pt>
                <c:pt idx="1194">
                  <c:v>85000</c:v>
                </c:pt>
                <c:pt idx="1195">
                  <c:v>93000</c:v>
                </c:pt>
                <c:pt idx="1196">
                  <c:v>95000</c:v>
                </c:pt>
                <c:pt idx="1197">
                  <c:v>100000</c:v>
                </c:pt>
                <c:pt idx="1198">
                  <c:v>105000</c:v>
                </c:pt>
                <c:pt idx="1199">
                  <c:v>122000</c:v>
                </c:pt>
                <c:pt idx="1200">
                  <c:v>130000</c:v>
                </c:pt>
                <c:pt idx="1201">
                  <c:v>130000</c:v>
                </c:pt>
                <c:pt idx="1202">
                  <c:v>200000</c:v>
                </c:pt>
                <c:pt idx="1203">
                  <c:v>200000</c:v>
                </c:pt>
                <c:pt idx="1204">
                  <c:v>250000</c:v>
                </c:pt>
                <c:pt idx="1205">
                  <c:v>72000</c:v>
                </c:pt>
                <c:pt idx="1206">
                  <c:v>80000</c:v>
                </c:pt>
                <c:pt idx="1207">
                  <c:v>83000</c:v>
                </c:pt>
                <c:pt idx="1208">
                  <c:v>46000</c:v>
                </c:pt>
                <c:pt idx="1209">
                  <c:v>50000</c:v>
                </c:pt>
                <c:pt idx="1210">
                  <c:v>70000</c:v>
                </c:pt>
                <c:pt idx="1211">
                  <c:v>72000</c:v>
                </c:pt>
                <c:pt idx="1212">
                  <c:v>76000</c:v>
                </c:pt>
                <c:pt idx="1213">
                  <c:v>90000</c:v>
                </c:pt>
                <c:pt idx="1214">
                  <c:v>110000</c:v>
                </c:pt>
                <c:pt idx="1215">
                  <c:v>130000</c:v>
                </c:pt>
                <c:pt idx="1216">
                  <c:v>55000</c:v>
                </c:pt>
                <c:pt idx="1217">
                  <c:v>70000</c:v>
                </c:pt>
                <c:pt idx="1218">
                  <c:v>75000</c:v>
                </c:pt>
                <c:pt idx="1219">
                  <c:v>75000</c:v>
                </c:pt>
                <c:pt idx="1220">
                  <c:v>75000</c:v>
                </c:pt>
                <c:pt idx="1221">
                  <c:v>85000</c:v>
                </c:pt>
                <c:pt idx="1222">
                  <c:v>100000</c:v>
                </c:pt>
                <c:pt idx="1223">
                  <c:v>93000</c:v>
                </c:pt>
                <c:pt idx="1224">
                  <c:v>57000</c:v>
                </c:pt>
                <c:pt idx="1225">
                  <c:v>90000</c:v>
                </c:pt>
                <c:pt idx="1226">
                  <c:v>78500</c:v>
                </c:pt>
                <c:pt idx="1227">
                  <c:v>28800</c:v>
                </c:pt>
                <c:pt idx="1228">
                  <c:v>55000</c:v>
                </c:pt>
                <c:pt idx="1229">
                  <c:v>60000</c:v>
                </c:pt>
                <c:pt idx="1230">
                  <c:v>69000</c:v>
                </c:pt>
                <c:pt idx="1231">
                  <c:v>110000</c:v>
                </c:pt>
                <c:pt idx="1232">
                  <c:v>110000</c:v>
                </c:pt>
                <c:pt idx="1233">
                  <c:v>70000</c:v>
                </c:pt>
              </c:numCache>
            </c:numRef>
          </c:yVal>
          <c:smooth val="0"/>
          <c:extLst>
            <c:ext xmlns:c16="http://schemas.microsoft.com/office/drawing/2014/chart" uri="{C3380CC4-5D6E-409C-BE32-E72D297353CC}">
              <c16:uniqueId val="{00000000-68DB-4F09-99DF-F43C88CD921A}"/>
            </c:ext>
          </c:extLst>
        </c:ser>
        <c:dLbls>
          <c:showLegendKey val="0"/>
          <c:showVal val="0"/>
          <c:showCatName val="0"/>
          <c:showSerName val="0"/>
          <c:showPercent val="0"/>
          <c:showBubbleSize val="0"/>
        </c:dLbls>
        <c:axId val="1541639231"/>
        <c:axId val="1541654207"/>
      </c:scatterChart>
      <c:valAx>
        <c:axId val="154163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Anos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1654207"/>
        <c:crosses val="autoZero"/>
        <c:crossBetween val="midCat"/>
      </c:valAx>
      <c:valAx>
        <c:axId val="1541654207"/>
        <c:scaling>
          <c:orientation val="minMax"/>
          <c:max val="3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Salário</a:t>
                </a:r>
              </a:p>
            </c:rich>
          </c:tx>
          <c:layout>
            <c:manualLayout>
              <c:xMode val="edge"/>
              <c:yMode val="edge"/>
              <c:x val="1.9047619047619049E-2"/>
              <c:y val="0.364904564444237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1639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Frequência do gênero dos entrevistados na Pesquisa Salarial </a:t>
            </a:r>
            <a:r>
              <a:rPr lang="pt-BR" sz="1600" b="1" i="0" u="none" strike="noStrike" baseline="0">
                <a:effectLst/>
              </a:rPr>
              <a:t>da União Europeia</a:t>
            </a:r>
            <a:r>
              <a:rPr lang="en-US"/>
              <a:t>.</a:t>
            </a:r>
          </a:p>
        </c:rich>
      </c:tx>
      <c:layout>
        <c:manualLayout>
          <c:xMode val="edge"/>
          <c:yMode val="edge"/>
          <c:x val="0.11562489063867017"/>
          <c:y val="2.73597811217510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'Variável Gender'!$C$4</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Gender'!$B$5:$B$6</c:f>
              <c:strCache>
                <c:ptCount val="2"/>
                <c:pt idx="0">
                  <c:v>Masculino</c:v>
                </c:pt>
                <c:pt idx="1">
                  <c:v>Feminino</c:v>
                </c:pt>
              </c:strCache>
            </c:strRef>
          </c:cat>
          <c:val>
            <c:numRef>
              <c:f>'Variável Gender'!$C$5:$C$6</c:f>
              <c:numCache>
                <c:formatCode>General</c:formatCode>
                <c:ptCount val="2"/>
                <c:pt idx="0">
                  <c:v>1049</c:v>
                </c:pt>
                <c:pt idx="1">
                  <c:v>192</c:v>
                </c:pt>
              </c:numCache>
            </c:numRef>
          </c:val>
          <c:extLst>
            <c:ext xmlns:c16="http://schemas.microsoft.com/office/drawing/2014/chart" uri="{C3380CC4-5D6E-409C-BE32-E72D297353CC}">
              <c16:uniqueId val="{00000000-358E-42EE-A596-1C7901577E9F}"/>
            </c:ext>
          </c:extLst>
        </c:ser>
        <c:dLbls>
          <c:dLblPos val="outEnd"/>
          <c:showLegendKey val="0"/>
          <c:showVal val="1"/>
          <c:showCatName val="0"/>
          <c:showSerName val="0"/>
          <c:showPercent val="0"/>
          <c:showBubbleSize val="0"/>
        </c:dLbls>
        <c:gapWidth val="91"/>
        <c:overlap val="-4"/>
        <c:axId val="1632234464"/>
        <c:axId val="1632231552"/>
      </c:barChart>
      <c:catAx>
        <c:axId val="1632234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Gênero</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32231552"/>
        <c:crosses val="autoZero"/>
        <c:auto val="1"/>
        <c:lblAlgn val="ctr"/>
        <c:lblOffset val="100"/>
        <c:noMultiLvlLbl val="0"/>
      </c:catAx>
      <c:valAx>
        <c:axId val="163223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322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Frequência </a:t>
            </a:r>
            <a:r>
              <a:rPr lang="pt-BR" baseline="0"/>
              <a:t> </a:t>
            </a:r>
            <a:r>
              <a:rPr lang="pt-BR"/>
              <a:t>da cidade dos entrevistados na Pesquisa Salarial </a:t>
            </a:r>
            <a:r>
              <a:rPr lang="pt-BR" sz="1600" b="1" i="0" u="none" strike="noStrike" baseline="0">
                <a:effectLst/>
              </a:rPr>
              <a:t>da União Europeia</a:t>
            </a:r>
            <a:r>
              <a:rPr lang="en-US" sz="1600" b="1" i="0" u="none" strike="noStrike" baseline="0">
                <a:effectLst/>
              </a:rPr>
              <a:t>.</a:t>
            </a: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'Variável City'!$C$3</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dLbls>
            <c:dLbl>
              <c:idx val="0"/>
              <c:layout>
                <c:manualLayout>
                  <c:x val="0"/>
                  <c:y val="-0.314814814814814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35-4CCA-8E85-D4F73E4909D6}"/>
                </c:ext>
              </c:extLst>
            </c:dLbl>
            <c:dLbl>
              <c:idx val="1"/>
              <c:layout>
                <c:manualLayout>
                  <c:x val="-3.4254711411712983E-17"/>
                  <c:y val="-0.16666666666666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35-4CCA-8E85-D4F73E4909D6}"/>
                </c:ext>
              </c:extLst>
            </c:dLbl>
            <c:dLbl>
              <c:idx val="2"/>
              <c:layout>
                <c:manualLayout>
                  <c:x val="-6.8509422823425966E-17"/>
                  <c:y val="-4.62962962962963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35-4CCA-8E85-D4F73E4909D6}"/>
                </c:ext>
              </c:extLst>
            </c:dLbl>
            <c:dLbl>
              <c:idx val="3"/>
              <c:layout>
                <c:manualLayout>
                  <c:x val="0"/>
                  <c:y val="-7.4074074074074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35-4CCA-8E85-D4F73E4909D6}"/>
                </c:ext>
              </c:extLst>
            </c:dLbl>
            <c:dLbl>
              <c:idx val="4"/>
              <c:layout>
                <c:manualLayout>
                  <c:x val="-1.8684603886397607E-3"/>
                  <c:y val="-5.55555555555555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35-4CCA-8E85-D4F73E4909D6}"/>
                </c:ext>
              </c:extLst>
            </c:dLbl>
            <c:dLbl>
              <c:idx val="5"/>
              <c:layout>
                <c:manualLayout>
                  <c:x val="-1.8684603886397607E-3"/>
                  <c:y val="-3.703703703703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35-4CCA-8E85-D4F73E4909D6}"/>
                </c:ext>
              </c:extLst>
            </c:dLbl>
            <c:dLbl>
              <c:idx val="6"/>
              <c:layout>
                <c:manualLayout>
                  <c:x val="-1.8684603886398978E-3"/>
                  <c:y val="-2.77777777777777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35-4CCA-8E85-D4F73E4909D6}"/>
                </c:ext>
              </c:extLst>
            </c:dLbl>
            <c:dLbl>
              <c:idx val="7"/>
              <c:layout>
                <c:manualLayout>
                  <c:x val="0"/>
                  <c:y val="-4.16666666666667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35-4CCA-8E85-D4F73E4909D6}"/>
                </c:ext>
              </c:extLst>
            </c:dLbl>
            <c:dLbl>
              <c:idx val="8"/>
              <c:layout>
                <c:manualLayout>
                  <c:x val="-1.8684603886398978E-3"/>
                  <c:y val="-0.115740740740740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635-4CCA-8E85-D4F73E4909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City'!$B$4:$B$12</c:f>
              <c:strCache>
                <c:ptCount val="9"/>
                <c:pt idx="0">
                  <c:v>Berlin</c:v>
                </c:pt>
                <c:pt idx="1">
                  <c:v>Munich</c:v>
                </c:pt>
                <c:pt idx="2">
                  <c:v>Frankfurt</c:v>
                </c:pt>
                <c:pt idx="3">
                  <c:v>Hamburg</c:v>
                </c:pt>
                <c:pt idx="4">
                  <c:v>Stuttgart</c:v>
                </c:pt>
                <c:pt idx="5">
                  <c:v>Cologne</c:v>
                </c:pt>
                <c:pt idx="6">
                  <c:v>DÃ¼sseldorf</c:v>
                </c:pt>
                <c:pt idx="7">
                  <c:v>Amsterdam</c:v>
                </c:pt>
                <c:pt idx="8">
                  <c:v>Outros</c:v>
                </c:pt>
              </c:strCache>
            </c:strRef>
          </c:cat>
          <c:val>
            <c:numRef>
              <c:f>'Variável City'!$C$4:$C$12</c:f>
              <c:numCache>
                <c:formatCode>0</c:formatCode>
                <c:ptCount val="9"/>
                <c:pt idx="0">
                  <c:v>681</c:v>
                </c:pt>
                <c:pt idx="1">
                  <c:v>236</c:v>
                </c:pt>
                <c:pt idx="2">
                  <c:v>44</c:v>
                </c:pt>
                <c:pt idx="3">
                  <c:v>43</c:v>
                </c:pt>
                <c:pt idx="4">
                  <c:v>33</c:v>
                </c:pt>
                <c:pt idx="5">
                  <c:v>20</c:v>
                </c:pt>
                <c:pt idx="6">
                  <c:v>10</c:v>
                </c:pt>
                <c:pt idx="7">
                  <c:v>9</c:v>
                </c:pt>
                <c:pt idx="8">
                  <c:v>178</c:v>
                </c:pt>
              </c:numCache>
            </c:numRef>
          </c:val>
          <c:extLst>
            <c:ext xmlns:c16="http://schemas.microsoft.com/office/drawing/2014/chart" uri="{C3380CC4-5D6E-409C-BE32-E72D297353CC}">
              <c16:uniqueId val="{00000000-3635-4CCA-8E85-D4F73E4909D6}"/>
            </c:ext>
          </c:extLst>
        </c:ser>
        <c:dLbls>
          <c:dLblPos val="ctr"/>
          <c:showLegendKey val="0"/>
          <c:showVal val="1"/>
          <c:showCatName val="0"/>
          <c:showSerName val="0"/>
          <c:showPercent val="0"/>
          <c:showBubbleSize val="0"/>
        </c:dLbls>
        <c:gapWidth val="150"/>
        <c:overlap val="100"/>
        <c:axId val="17914576"/>
        <c:axId val="17899600"/>
      </c:barChart>
      <c:catAx>
        <c:axId val="1791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Cidades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600"/>
        <c:crosses val="autoZero"/>
        <c:auto val="1"/>
        <c:lblAlgn val="ctr"/>
        <c:lblOffset val="100"/>
        <c:noMultiLvlLbl val="0"/>
      </c:catAx>
      <c:valAx>
        <c:axId val="1789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1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Frequência e porcentagem da posição profissional dos entrevistados na Pesquisa Salarial da União Europeia.</a:t>
            </a: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'Variável Position'!$C$3</c:f>
              <c:strCache>
                <c:ptCount val="1"/>
                <c:pt idx="0">
                  <c:v>Frequência</c:v>
                </c:pt>
              </c:strCache>
            </c:strRef>
          </c:tx>
          <c:spPr>
            <a:solidFill>
              <a:srgbClr val="99CCFF"/>
            </a:solidFill>
            <a:ln>
              <a:noFill/>
            </a:ln>
            <a:effectLst>
              <a:outerShdw blurRad="57150" dist="19050" dir="5400000" algn="ctr" rotWithShape="0">
                <a:srgbClr val="000000">
                  <a:alpha val="63000"/>
                </a:srgbClr>
              </a:outerShdw>
            </a:effectLst>
          </c:spPr>
          <c:invertIfNegative val="0"/>
          <c:cat>
            <c:strRef>
              <c:f>'Variável Position'!$B$4:$B$17</c:f>
              <c:strCache>
                <c:ptCount val="14"/>
                <c:pt idx="0">
                  <c:v>Software Engineer</c:v>
                </c:pt>
                <c:pt idx="1">
                  <c:v>Backend Developer</c:v>
                </c:pt>
                <c:pt idx="2">
                  <c:v>Data Scientist</c:v>
                </c:pt>
                <c:pt idx="3">
                  <c:v>Frontend Developer</c:v>
                </c:pt>
                <c:pt idx="4">
                  <c:v>QA Engineer</c:v>
                </c:pt>
                <c:pt idx="5">
                  <c:v>DevOps</c:v>
                </c:pt>
                <c:pt idx="6">
                  <c:v>Mobile Developer</c:v>
                </c:pt>
                <c:pt idx="7">
                  <c:v>ML Engineer</c:v>
                </c:pt>
                <c:pt idx="8">
                  <c:v>Product Manager</c:v>
                </c:pt>
                <c:pt idx="9">
                  <c:v>Data Engineer</c:v>
                </c:pt>
                <c:pt idx="10">
                  <c:v>Designer (UI/UX)</c:v>
                </c:pt>
                <c:pt idx="11">
                  <c:v>Data Analyst</c:v>
                </c:pt>
                <c:pt idx="12">
                  <c:v>Engineering Manager</c:v>
                </c:pt>
                <c:pt idx="13">
                  <c:v>Outros</c:v>
                </c:pt>
              </c:strCache>
            </c:strRef>
          </c:cat>
          <c:val>
            <c:numRef>
              <c:f>'Variável Position'!$C$4:$C$17</c:f>
              <c:numCache>
                <c:formatCode>0</c:formatCode>
                <c:ptCount val="14"/>
                <c:pt idx="0">
                  <c:v>387</c:v>
                </c:pt>
                <c:pt idx="1">
                  <c:v>174</c:v>
                </c:pt>
                <c:pt idx="2">
                  <c:v>110</c:v>
                </c:pt>
                <c:pt idx="3">
                  <c:v>89</c:v>
                </c:pt>
                <c:pt idx="4">
                  <c:v>71</c:v>
                </c:pt>
                <c:pt idx="5">
                  <c:v>57</c:v>
                </c:pt>
                <c:pt idx="6">
                  <c:v>53</c:v>
                </c:pt>
                <c:pt idx="7">
                  <c:v>42</c:v>
                </c:pt>
                <c:pt idx="8">
                  <c:v>39</c:v>
                </c:pt>
                <c:pt idx="9">
                  <c:v>26</c:v>
                </c:pt>
                <c:pt idx="10">
                  <c:v>16</c:v>
                </c:pt>
                <c:pt idx="11">
                  <c:v>8</c:v>
                </c:pt>
                <c:pt idx="12">
                  <c:v>11</c:v>
                </c:pt>
                <c:pt idx="13">
                  <c:v>165</c:v>
                </c:pt>
              </c:numCache>
            </c:numRef>
          </c:val>
          <c:extLst>
            <c:ext xmlns:c16="http://schemas.microsoft.com/office/drawing/2014/chart" uri="{C3380CC4-5D6E-409C-BE32-E72D297353CC}">
              <c16:uniqueId val="{00000000-DDF6-4F9B-95BF-0E9913DB7CD9}"/>
            </c:ext>
          </c:extLst>
        </c:ser>
        <c:dLbls>
          <c:showLegendKey val="0"/>
          <c:showVal val="0"/>
          <c:showCatName val="0"/>
          <c:showSerName val="0"/>
          <c:showPercent val="0"/>
          <c:showBubbleSize val="0"/>
        </c:dLbls>
        <c:gapWidth val="100"/>
        <c:overlap val="-24"/>
        <c:axId val="1682505391"/>
        <c:axId val="2021551743"/>
      </c:barChart>
      <c:catAx>
        <c:axId val="168250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Posição</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1551743"/>
        <c:crosses val="autoZero"/>
        <c:auto val="1"/>
        <c:lblAlgn val="ctr"/>
        <c:lblOffset val="100"/>
        <c:noMultiLvlLbl val="0"/>
      </c:catAx>
      <c:valAx>
        <c:axId val="202155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layout>
            <c:manualLayout>
              <c:xMode val="edge"/>
              <c:yMode val="edge"/>
              <c:x val="1.4678409394182012E-2"/>
              <c:y val="0.3778623505395158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8250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Histograma</a:t>
            </a:r>
            <a:r>
              <a:rPr lang="pt-BR" baseline="0"/>
              <a:t> da quantidade de anos de esperiência dos entrevistados na Pesquisa Salarial da União Europeia.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'Variável Total years of experie'!$C$6</c:f>
              <c:strCache>
                <c:ptCount val="1"/>
                <c:pt idx="0">
                  <c:v>Frequência</c:v>
                </c:pt>
              </c:strCache>
            </c:strRef>
          </c:tx>
          <c:spPr>
            <a:solidFill>
              <a:srgbClr val="99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Total years of experie'!$B$7:$B$16</c:f>
              <c:strCache>
                <c:ptCount val="10"/>
                <c:pt idx="0">
                  <c:v>0Ͱ5</c:v>
                </c:pt>
                <c:pt idx="1">
                  <c:v>5Ͱ10</c:v>
                </c:pt>
                <c:pt idx="2">
                  <c:v>10Ͱ15</c:v>
                </c:pt>
                <c:pt idx="3">
                  <c:v>15Ͱ20</c:v>
                </c:pt>
                <c:pt idx="4">
                  <c:v>20Ͱ25</c:v>
                </c:pt>
                <c:pt idx="5">
                  <c:v>25Ͱ30</c:v>
                </c:pt>
                <c:pt idx="6">
                  <c:v>30Ͱ35</c:v>
                </c:pt>
                <c:pt idx="7">
                  <c:v>35Ͱ40</c:v>
                </c:pt>
                <c:pt idx="8">
                  <c:v>40Ͱ45</c:v>
                </c:pt>
                <c:pt idx="9">
                  <c:v>&gt;45</c:v>
                </c:pt>
              </c:strCache>
            </c:strRef>
          </c:cat>
          <c:val>
            <c:numRef>
              <c:f>'Variável Total years of experie'!$C$7:$C$16</c:f>
              <c:numCache>
                <c:formatCode>General</c:formatCode>
                <c:ptCount val="10"/>
                <c:pt idx="0">
                  <c:v>256</c:v>
                </c:pt>
                <c:pt idx="1">
                  <c:v>475</c:v>
                </c:pt>
                <c:pt idx="2">
                  <c:v>329</c:v>
                </c:pt>
                <c:pt idx="3">
                  <c:v>119</c:v>
                </c:pt>
                <c:pt idx="4">
                  <c:v>39</c:v>
                </c:pt>
                <c:pt idx="5">
                  <c:v>12</c:v>
                </c:pt>
                <c:pt idx="6">
                  <c:v>5</c:v>
                </c:pt>
                <c:pt idx="7">
                  <c:v>0</c:v>
                </c:pt>
                <c:pt idx="8">
                  <c:v>1</c:v>
                </c:pt>
                <c:pt idx="9">
                  <c:v>0</c:v>
                </c:pt>
              </c:numCache>
            </c:numRef>
          </c:val>
          <c:extLst>
            <c:ext xmlns:c16="http://schemas.microsoft.com/office/drawing/2014/chart" uri="{C3380CC4-5D6E-409C-BE32-E72D297353CC}">
              <c16:uniqueId val="{00000000-398E-45CA-9822-CF63B51E67CF}"/>
            </c:ext>
          </c:extLst>
        </c:ser>
        <c:dLbls>
          <c:dLblPos val="outEnd"/>
          <c:showLegendKey val="0"/>
          <c:showVal val="1"/>
          <c:showCatName val="0"/>
          <c:showSerName val="0"/>
          <c:showPercent val="0"/>
          <c:showBubbleSize val="0"/>
        </c:dLbls>
        <c:gapWidth val="4"/>
        <c:overlap val="-27"/>
        <c:axId val="1915569280"/>
        <c:axId val="1915570944"/>
      </c:barChart>
      <c:catAx>
        <c:axId val="191556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5570944"/>
        <c:crosses val="autoZero"/>
        <c:auto val="1"/>
        <c:lblAlgn val="ctr"/>
        <c:lblOffset val="100"/>
        <c:noMultiLvlLbl val="0"/>
      </c:catAx>
      <c:valAx>
        <c:axId val="191557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Frequência</a:t>
                </a:r>
              </a:p>
            </c:rich>
          </c:tx>
          <c:layout>
            <c:manualLayout>
              <c:xMode val="edge"/>
              <c:yMode val="edge"/>
              <c:x val="2.2222222222222223E-2"/>
              <c:y val="0.3763812335958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556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 da quantidade de anos de esperiência na Alemanha dos entrevistados na Pesquisa Salarial da União Europeia.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cat>
            <c:strRef>
              <c:f>'Variável experience in Germany'!$B$7:$B$13</c:f>
              <c:strCache>
                <c:ptCount val="7"/>
                <c:pt idx="0">
                  <c:v>0Ͱ5</c:v>
                </c:pt>
                <c:pt idx="1">
                  <c:v>5Ͱ10</c:v>
                </c:pt>
                <c:pt idx="2">
                  <c:v>10Ͱ15</c:v>
                </c:pt>
                <c:pt idx="3">
                  <c:v>15Ͱ20</c:v>
                </c:pt>
                <c:pt idx="4">
                  <c:v>20Ͱ25</c:v>
                </c:pt>
                <c:pt idx="5">
                  <c:v>25Ͱ30</c:v>
                </c:pt>
                <c:pt idx="6">
                  <c:v>30Ͱ35</c:v>
                </c:pt>
              </c:strCache>
            </c:strRef>
          </c:cat>
          <c:val>
            <c:numRef>
              <c:f>'Variável experience in Germany'!$C$7:$C$13</c:f>
              <c:numCache>
                <c:formatCode>General</c:formatCode>
                <c:ptCount val="7"/>
                <c:pt idx="0">
                  <c:v>850</c:v>
                </c:pt>
                <c:pt idx="1">
                  <c:v>287</c:v>
                </c:pt>
                <c:pt idx="2">
                  <c:v>57</c:v>
                </c:pt>
                <c:pt idx="3">
                  <c:v>14</c:v>
                </c:pt>
                <c:pt idx="4">
                  <c:v>7</c:v>
                </c:pt>
                <c:pt idx="5">
                  <c:v>2</c:v>
                </c:pt>
                <c:pt idx="6">
                  <c:v>3</c:v>
                </c:pt>
              </c:numCache>
            </c:numRef>
          </c:val>
          <c:extLst>
            <c:ext xmlns:c16="http://schemas.microsoft.com/office/drawing/2014/chart" uri="{C3380CC4-5D6E-409C-BE32-E72D297353CC}">
              <c16:uniqueId val="{00000000-0FC1-48C6-AF91-2C64CB828534}"/>
            </c:ext>
          </c:extLst>
        </c:ser>
        <c:dLbls>
          <c:showLegendKey val="0"/>
          <c:showVal val="0"/>
          <c:showCatName val="0"/>
          <c:showSerName val="0"/>
          <c:showPercent val="0"/>
          <c:showBubbleSize val="0"/>
        </c:dLbls>
        <c:gapWidth val="100"/>
        <c:overlap val="-24"/>
        <c:axId val="56082176"/>
        <c:axId val="56088000"/>
      </c:barChart>
      <c:catAx>
        <c:axId val="56082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088000"/>
        <c:crosses val="autoZero"/>
        <c:auto val="1"/>
        <c:lblAlgn val="ctr"/>
        <c:lblOffset val="100"/>
        <c:noMultiLvlLbl val="0"/>
      </c:catAx>
      <c:valAx>
        <c:axId val="5608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0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Frequência Nível Profissional dos entrevistados na Pesquisa Salarial da União Europeia. </a:t>
            </a:r>
          </a:p>
        </c:rich>
      </c:tx>
      <c:layout>
        <c:manualLayout>
          <c:xMode val="edge"/>
          <c:yMode val="edge"/>
          <c:x val="0.16063888888888889"/>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4092825896762903"/>
          <c:y val="0.23694444444444446"/>
          <c:w val="0.83129396325459315"/>
          <c:h val="0.54359580052493439"/>
        </c:manualLayout>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Seniority level'!$C$5:$C$10</c:f>
              <c:strCache>
                <c:ptCount val="6"/>
                <c:pt idx="0">
                  <c:v>Senior</c:v>
                </c:pt>
                <c:pt idx="1">
                  <c:v>Middle</c:v>
                </c:pt>
                <c:pt idx="2">
                  <c:v>Junior</c:v>
                </c:pt>
                <c:pt idx="3">
                  <c:v>Lead</c:v>
                </c:pt>
                <c:pt idx="4">
                  <c:v>Head</c:v>
                </c:pt>
                <c:pt idx="5">
                  <c:v>Outro</c:v>
                </c:pt>
              </c:strCache>
            </c:strRef>
          </c:cat>
          <c:val>
            <c:numRef>
              <c:f>'Variável Seniority level'!$D$5:$D$10</c:f>
              <c:numCache>
                <c:formatCode>General</c:formatCode>
                <c:ptCount val="6"/>
                <c:pt idx="0">
                  <c:v>565</c:v>
                </c:pt>
                <c:pt idx="1">
                  <c:v>366</c:v>
                </c:pt>
                <c:pt idx="2">
                  <c:v>79</c:v>
                </c:pt>
                <c:pt idx="3">
                  <c:v>166</c:v>
                </c:pt>
                <c:pt idx="4">
                  <c:v>44</c:v>
                </c:pt>
                <c:pt idx="5">
                  <c:v>21</c:v>
                </c:pt>
              </c:numCache>
            </c:numRef>
          </c:val>
          <c:extLst>
            <c:ext xmlns:c16="http://schemas.microsoft.com/office/drawing/2014/chart" uri="{C3380CC4-5D6E-409C-BE32-E72D297353CC}">
              <c16:uniqueId val="{00000000-4004-4DE9-A630-2933488437DF}"/>
            </c:ext>
          </c:extLst>
        </c:ser>
        <c:dLbls>
          <c:dLblPos val="outEnd"/>
          <c:showLegendKey val="0"/>
          <c:showVal val="1"/>
          <c:showCatName val="0"/>
          <c:showSerName val="0"/>
          <c:showPercent val="0"/>
          <c:showBubbleSize val="0"/>
        </c:dLbls>
        <c:gapWidth val="100"/>
        <c:overlap val="-24"/>
        <c:axId val="1989109488"/>
        <c:axId val="1989111568"/>
      </c:barChart>
      <c:catAx>
        <c:axId val="1989109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Nível Profissional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9111568"/>
        <c:crosses val="autoZero"/>
        <c:auto val="1"/>
        <c:lblAlgn val="ctr"/>
        <c:lblOffset val="100"/>
        <c:noMultiLvlLbl val="0"/>
      </c:catAx>
      <c:valAx>
        <c:axId val="198911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91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Linguagens de programação mais usadas dos entrevistados na Pesquisa Salarial da União Europeia.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Your main technology'!$B$8:$B$26</c:f>
              <c:strCache>
                <c:ptCount val="19"/>
                <c:pt idx="0">
                  <c:v>Python</c:v>
                </c:pt>
                <c:pt idx="1">
                  <c:v>Java</c:v>
                </c:pt>
                <c:pt idx="2">
                  <c:v>JavaScript</c:v>
                </c:pt>
                <c:pt idx="3">
                  <c:v>PHP</c:v>
                </c:pt>
                <c:pt idx="4">
                  <c:v>C++</c:v>
                </c:pt>
                <c:pt idx="5">
                  <c:v>C#</c:v>
                </c:pt>
                <c:pt idx="6">
                  <c:v>Swift</c:v>
                </c:pt>
                <c:pt idx="7">
                  <c:v>Typescript</c:v>
                </c:pt>
                <c:pt idx="8">
                  <c:v>Scala</c:v>
                </c:pt>
                <c:pt idx="9">
                  <c:v>Kotlin</c:v>
                </c:pt>
                <c:pt idx="10">
                  <c:v>GO</c:v>
                </c:pt>
                <c:pt idx="11">
                  <c:v>.NET</c:v>
                </c:pt>
                <c:pt idx="12">
                  <c:v>Ruby</c:v>
                </c:pt>
                <c:pt idx="13">
                  <c:v>SQL</c:v>
                </c:pt>
                <c:pt idx="14">
                  <c:v>C</c:v>
                </c:pt>
                <c:pt idx="15">
                  <c:v>iOS</c:v>
                </c:pt>
                <c:pt idx="16">
                  <c:v>Android</c:v>
                </c:pt>
                <c:pt idx="17">
                  <c:v>R</c:v>
                </c:pt>
                <c:pt idx="18">
                  <c:v>Outra</c:v>
                </c:pt>
              </c:strCache>
            </c:strRef>
          </c:cat>
          <c:val>
            <c:numRef>
              <c:f>'Variável Your main technology'!$C$8:$C$26</c:f>
              <c:numCache>
                <c:formatCode>General</c:formatCode>
                <c:ptCount val="19"/>
                <c:pt idx="0">
                  <c:v>227</c:v>
                </c:pt>
                <c:pt idx="1">
                  <c:v>213</c:v>
                </c:pt>
                <c:pt idx="2">
                  <c:v>118</c:v>
                </c:pt>
                <c:pt idx="3">
                  <c:v>73</c:v>
                </c:pt>
                <c:pt idx="4">
                  <c:v>45</c:v>
                </c:pt>
                <c:pt idx="5">
                  <c:v>35</c:v>
                </c:pt>
                <c:pt idx="6">
                  <c:v>30</c:v>
                </c:pt>
                <c:pt idx="7">
                  <c:v>31</c:v>
                </c:pt>
                <c:pt idx="8">
                  <c:v>28</c:v>
                </c:pt>
                <c:pt idx="9">
                  <c:v>27</c:v>
                </c:pt>
                <c:pt idx="10">
                  <c:v>27</c:v>
                </c:pt>
                <c:pt idx="11">
                  <c:v>25</c:v>
                </c:pt>
                <c:pt idx="12">
                  <c:v>23</c:v>
                </c:pt>
                <c:pt idx="13">
                  <c:v>19</c:v>
                </c:pt>
                <c:pt idx="14">
                  <c:v>16</c:v>
                </c:pt>
                <c:pt idx="15">
                  <c:v>10</c:v>
                </c:pt>
                <c:pt idx="16">
                  <c:v>10</c:v>
                </c:pt>
                <c:pt idx="17">
                  <c:v>9</c:v>
                </c:pt>
                <c:pt idx="18">
                  <c:v>159</c:v>
                </c:pt>
              </c:numCache>
            </c:numRef>
          </c:val>
          <c:extLst>
            <c:ext xmlns:c16="http://schemas.microsoft.com/office/drawing/2014/chart" uri="{C3380CC4-5D6E-409C-BE32-E72D297353CC}">
              <c16:uniqueId val="{00000000-4182-45F4-B102-056C75EB4CD8}"/>
            </c:ext>
          </c:extLst>
        </c:ser>
        <c:dLbls>
          <c:dLblPos val="outEnd"/>
          <c:showLegendKey val="0"/>
          <c:showVal val="1"/>
          <c:showCatName val="0"/>
          <c:showSerName val="0"/>
          <c:showPercent val="0"/>
          <c:showBubbleSize val="0"/>
        </c:dLbls>
        <c:gapWidth val="100"/>
        <c:overlap val="-24"/>
        <c:axId val="76456592"/>
        <c:axId val="76457840"/>
      </c:barChart>
      <c:catAx>
        <c:axId val="76456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Linguagem de programação</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457840"/>
        <c:crosses val="autoZero"/>
        <c:auto val="1"/>
        <c:lblAlgn val="ctr"/>
        <c:lblOffset val="100"/>
        <c:noMultiLvlLbl val="0"/>
      </c:catAx>
      <c:valAx>
        <c:axId val="764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45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Histograma do salário bruto entrevistados na Pesquisa Salarial da União Europeia.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rgbClr val="99CC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'Variável Yearly brutto salary '!$B$7:$B$16</c:f>
              <c:strCache>
                <c:ptCount val="10"/>
                <c:pt idx="0">
                  <c:v>10000 Ͱ 30000</c:v>
                </c:pt>
                <c:pt idx="1">
                  <c:v>30000 Ͱ 50000</c:v>
                </c:pt>
                <c:pt idx="2">
                  <c:v>50000 Ͱ 70000</c:v>
                </c:pt>
                <c:pt idx="3">
                  <c:v>70000 Ͱ 90000</c:v>
                </c:pt>
                <c:pt idx="4">
                  <c:v>90000 Ͱ 110000</c:v>
                </c:pt>
                <c:pt idx="5">
                  <c:v>110000 Ͱ 130000</c:v>
                </c:pt>
                <c:pt idx="6">
                  <c:v>130000 Ͱ 150000</c:v>
                </c:pt>
                <c:pt idx="7">
                  <c:v>170000 Ͱ 190000</c:v>
                </c:pt>
                <c:pt idx="8">
                  <c:v>190000 Ͱ 210000</c:v>
                </c:pt>
                <c:pt idx="9">
                  <c:v>&gt; 210000</c:v>
                </c:pt>
              </c:strCache>
            </c:strRef>
          </c:cat>
          <c:val>
            <c:numRef>
              <c:f>'Variável Yearly brutto salary '!$C$7:$C$16</c:f>
              <c:numCache>
                <c:formatCode>General</c:formatCode>
                <c:ptCount val="10"/>
                <c:pt idx="0">
                  <c:v>32</c:v>
                </c:pt>
                <c:pt idx="1">
                  <c:v>113</c:v>
                </c:pt>
                <c:pt idx="2">
                  <c:v>472</c:v>
                </c:pt>
                <c:pt idx="3">
                  <c:v>440</c:v>
                </c:pt>
                <c:pt idx="4">
                  <c:v>131</c:v>
                </c:pt>
                <c:pt idx="5">
                  <c:v>33</c:v>
                </c:pt>
                <c:pt idx="6">
                  <c:v>9</c:v>
                </c:pt>
                <c:pt idx="7">
                  <c:v>3</c:v>
                </c:pt>
                <c:pt idx="8">
                  <c:v>4</c:v>
                </c:pt>
                <c:pt idx="9">
                  <c:v>3</c:v>
                </c:pt>
              </c:numCache>
            </c:numRef>
          </c:val>
          <c:extLst>
            <c:ext xmlns:c16="http://schemas.microsoft.com/office/drawing/2014/chart" uri="{C3380CC4-5D6E-409C-BE32-E72D297353CC}">
              <c16:uniqueId val="{00000000-C74F-4EC2-8ADC-6F2A71418C53}"/>
            </c:ext>
          </c:extLst>
        </c:ser>
        <c:dLbls>
          <c:dLblPos val="outEnd"/>
          <c:showLegendKey val="0"/>
          <c:showVal val="1"/>
          <c:showCatName val="0"/>
          <c:showSerName val="0"/>
          <c:showPercent val="0"/>
          <c:showBubbleSize val="0"/>
        </c:dLbls>
        <c:gapWidth val="3"/>
        <c:overlap val="-24"/>
        <c:axId val="2035083455"/>
        <c:axId val="2035084287"/>
      </c:barChart>
      <c:catAx>
        <c:axId val="2035083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Salários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5084287"/>
        <c:crosses val="autoZero"/>
        <c:auto val="1"/>
        <c:lblAlgn val="ctr"/>
        <c:lblOffset val="100"/>
        <c:noMultiLvlLbl val="0"/>
      </c:catAx>
      <c:valAx>
        <c:axId val="203508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Frequência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508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 da quantidade de anos de esperiência dos entrevistados na Pesquisa Salarial da União Europeia.</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 PLOT da quantidade de anos de esperiência dos entrevistados na Pesquisa Salarial da União Europeia.</a:t>
          </a:r>
        </a:p>
      </cx:txPr>
    </cx:title>
    <cx:plotArea>
      <cx:plotAreaRegion>
        <cx:series layoutId="boxWhisker" uniqueId="{EEC6A401-0E32-4837-991A-4B81D76BE0A3}">
          <cx:spPr>
            <a:solidFill>
              <a:srgbClr val="99CCFF"/>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rtl="0">
              <a:defRPr sz="1400">
                <a:latin typeface="+mn-lt"/>
              </a:defRPr>
            </a:pPr>
            <a:r>
              <a:rPr lang="pt-BR" sz="1400" b="0" i="0" baseline="0">
                <a:effectLst/>
                <a:latin typeface="+mn-lt"/>
              </a:rPr>
              <a:t>BOX PLOT da quantidade de anos de esperiência dos entrevistados na Pesquisa Salarial da União Europeia.</a:t>
            </a:r>
            <a:endParaRPr lang="pt-BR" sz="1400">
              <a:effectLst/>
              <a:latin typeface="+mn-lt"/>
            </a:endParaRPr>
          </a:p>
        </cx:rich>
      </cx:tx>
    </cx:title>
    <cx:plotArea>
      <cx:plotAreaRegion>
        <cx:series layoutId="boxWhisker" uniqueId="{2C4BB364-5F96-43EB-AF64-4B1C5DD9BEB1}">
          <cx:spPr>
            <a:solidFill>
              <a:srgbClr val="99CCFF"/>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 da quantidade de anos de esperiência na Alemanha dos entrevistados na Pesquisa Salarial da União Europeia.</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 Plot da quantidade de anos de esperiência na Alemanha dos entrevistados na Pesquisa Salarial da União Europeia.</a:t>
          </a:r>
        </a:p>
      </cx:txPr>
    </cx:title>
    <cx:plotArea>
      <cx:plotAreaRegion>
        <cx:series layoutId="boxWhisker" uniqueId="{3AFD9258-D69A-4FE6-9417-95F9D9F77DC1}">
          <cx:tx>
            <cx:txData>
              <cx:f>_xlchart.v1.2</cx:f>
              <cx:v>Years of experience in Germany</cx:v>
            </cx:txData>
          </cx:tx>
          <cx:spPr>
            <a:solidFill>
              <a:srgbClr val="99CCFF"/>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rtl="0">
              <a:defRPr b="1">
                <a:latin typeface="+mn-lt"/>
              </a:defRPr>
            </a:pPr>
            <a:r>
              <a:rPr lang="pt-BR" sz="1400" b="1" i="0" baseline="0">
                <a:effectLst/>
                <a:latin typeface="+mn-lt"/>
              </a:rPr>
              <a:t>Box Plot do salário bruto anual </a:t>
            </a:r>
            <a:r>
              <a:rPr lang="pt-BR" sz="1400" b="1">
                <a:effectLst/>
                <a:latin typeface="+mn-lt"/>
              </a:rPr>
              <a:t>entrevistados na Pesquisa Salarial da União Europeia.</a:t>
            </a:r>
          </a:p>
        </cx:rich>
      </cx:tx>
    </cx:title>
    <cx:plotArea>
      <cx:plotAreaRegion>
        <cx:series layoutId="boxWhisker" uniqueId="{E1C8DFFF-19C3-464E-9B98-25A709806A16}">
          <cx:tx>
            <cx:txData>
              <cx:f>_xlchart.v1.4</cx:f>
              <cx:v>Yearly brutto salary (without bonus and stocks) in EUR</cx:v>
            </cx:txData>
          </cx:tx>
          <cx:spPr>
            <a:solidFill>
              <a:srgbClr val="99CCFF"/>
            </a:solidFill>
          </cx:spPr>
          <cx:dataId val="0"/>
          <cx:layoutPr>
            <cx:visibility meanLine="0" meanMarker="1" nonoutliers="0" outliers="1"/>
            <cx:statistics quartileMethod="exclusive"/>
          </cx:layoutPr>
        </cx:series>
      </cx:plotAreaRegion>
      <cx:axis id="0">
        <cx:catScaling gapWidth="1"/>
        <cx:tickLabels/>
      </cx:axis>
      <cx:axis id="1">
        <cx:valScaling max="310000"/>
        <cx:majorGridlines/>
        <cx:tickLabels/>
        <cx:txPr>
          <a:bodyPr spcFirstLastPara="1" vertOverflow="ellipsis" horzOverflow="overflow" wrap="square" lIns="0" tIns="0" rIns="0" bIns="0" anchor="ctr" anchorCtr="1"/>
          <a:lstStyle/>
          <a:p>
            <a:pPr algn="ctr" rtl="0">
              <a:defRPr/>
            </a:pPr>
            <a:endParaRPr lang="pt-BR" sz="900" b="0" i="0" u="none" strike="noStrike" baseline="0">
              <a:solidFill>
                <a:sysClr val="windowText" lastClr="000000">
                  <a:lumMod val="65000"/>
                  <a:lumOff val="35000"/>
                </a:sysClr>
              </a:solidFill>
              <a:latin typeface="Calibri" panose="020F0502020204030204"/>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 Plot </a:t>
            </a:r>
            <a:r>
              <a:rPr lang="pt-BR">
                <a:effectLst/>
              </a:rPr>
              <a:t>Bônus anuais dos entrevistados na Pesquisa Salarial </a:t>
            </a:r>
            <a:r>
              <a:rPr lang="pt-BR" sz="1400" b="0" i="0" baseline="0">
                <a:effectLst/>
              </a:rPr>
              <a:t>da União Europeia.</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650F981-21D4-4668-8A7A-F4AE001D88D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chartData>
  <cx:chart>
    <cx:title pos="t" align="ctr" overlay="0">
      <cx:tx>
        <cx:txData>
          <cx:v>Box plots de salário segundo o gênero.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 plots de salário segundo o gênero.</a:t>
          </a:r>
        </a:p>
      </cx:txPr>
    </cx:title>
    <cx:plotArea>
      <cx:plotAreaRegion>
        <cx:series layoutId="boxWhisker" uniqueId="{B09E8D0C-D0B2-4F2C-8477-0DE3ABD6FE60}">
          <cx:tx>
            <cx:txData>
              <cx:f>_xlchart.v1.7</cx:f>
              <cx:v>Female</cx:v>
            </cx:txData>
          </cx:tx>
          <cx:dataId val="0"/>
          <cx:layoutPr>
            <cx:visibility meanLine="0" meanMarker="1" nonoutliers="0" outliers="1"/>
            <cx:statistics quartileMethod="exclusive"/>
          </cx:layoutPr>
        </cx:series>
        <cx:series layoutId="boxWhisker" uniqueId="{E4C4AA64-7CEA-4404-8FB3-83D34C0EC605}">
          <cx:tx>
            <cx:txData>
              <cx:f>_xlchart.v1.9</cx:f>
              <cx:v>Male</cx:v>
            </cx:txData>
          </cx:tx>
          <cx:dataId val="1"/>
          <cx:layoutPr>
            <cx:visibility meanLine="0" meanMarker="1" nonoutliers="0" outliers="1"/>
            <cx:statistics quartileMethod="exclusive"/>
          </cx:layoutPr>
        </cx:series>
      </cx:plotAreaRegion>
      <cx:axis id="0">
        <cx:catScaling gapWidth="1"/>
        <cx:title>
          <cx:tx>
            <cx:txData>
              <cx:v>Feminino                                    Masculino</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Feminino                                    Masculino</a:t>
              </a:r>
            </a:p>
          </cx:txPr>
        </cx:title>
        <cx:tickLabels/>
      </cx:axis>
      <cx:axis id="1">
        <cx:valScaling max="320000"/>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data id="1">
      <cx:numDim type="val">
        <cx:f>_xlchart.v1.14</cx:f>
      </cx:numDim>
    </cx:data>
    <cx:data id="2">
      <cx:numDim type="val">
        <cx:f>_xlchart.v1.16</cx:f>
      </cx:numDim>
    </cx:data>
    <cx:data id="3">
      <cx:numDim type="val">
        <cx:f>_xlchart.v1.18</cx:f>
      </cx:numDim>
    </cx:data>
    <cx:data id="4">
      <cx:numDim type="val">
        <cx:f>_xlchart.v1.20</cx:f>
      </cx:numDim>
    </cx:data>
    <cx:data id="5">
      <cx:numDim type="val">
        <cx:f>_xlchart.v1.22</cx:f>
      </cx:numDim>
    </cx:data>
    <cx:data id="6">
      <cx:numDim type="val">
        <cx:f>_xlchart.v1.24</cx:f>
      </cx:numDim>
    </cx:data>
  </cx:chartData>
  <cx:chart>
    <cx:title pos="t" align="ctr" overlay="0">
      <cx:tx>
        <cx:txData>
          <cx:v>Box plot dos sálarios segundo a posição profissional </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 plot dos sálarios segundo a posição profissional </a:t>
          </a:r>
        </a:p>
      </cx:txPr>
    </cx:title>
    <cx:plotArea>
      <cx:plotAreaRegion>
        <cx:series layoutId="boxWhisker" uniqueId="{3CF31EA1-BB65-408C-A5EB-FF23855204D9}">
          <cx:tx>
            <cx:txData>
              <cx:f>_xlchart.v1.11</cx:f>
              <cx:v>Software Engineer</cx:v>
            </cx:txData>
          </cx:tx>
          <cx:dataId val="0"/>
          <cx:layoutPr>
            <cx:visibility meanLine="0" meanMarker="1" nonoutliers="0" outliers="1"/>
            <cx:statistics quartileMethod="exclusive"/>
          </cx:layoutPr>
        </cx:series>
        <cx:series layoutId="boxWhisker" uniqueId="{C3192CE0-BE98-4551-9A24-A1CD1257AC74}">
          <cx:tx>
            <cx:txData>
              <cx:f>_xlchart.v1.13</cx:f>
              <cx:v>Backend Developer</cx:v>
            </cx:txData>
          </cx:tx>
          <cx:dataId val="1"/>
          <cx:layoutPr>
            <cx:visibility meanLine="0" meanMarker="1" nonoutliers="0" outliers="1"/>
            <cx:statistics quartileMethod="exclusive"/>
          </cx:layoutPr>
        </cx:series>
        <cx:series layoutId="boxWhisker" uniqueId="{3F96B406-D6BB-489D-961C-96B2DEF85524}">
          <cx:tx>
            <cx:txData>
              <cx:f>_xlchart.v1.15</cx:f>
              <cx:v>Data Scientist</cx:v>
            </cx:txData>
          </cx:tx>
          <cx:dataId val="2"/>
          <cx:layoutPr>
            <cx:visibility meanLine="0" meanMarker="1" nonoutliers="0" outliers="1"/>
            <cx:statistics quartileMethod="exclusive"/>
          </cx:layoutPr>
        </cx:series>
        <cx:series layoutId="boxWhisker" uniqueId="{D1826DD6-2A28-48AF-90E7-BB3A45210F6A}">
          <cx:tx>
            <cx:txData>
              <cx:f>_xlchart.v1.17</cx:f>
              <cx:v>Frontend Developer</cx:v>
            </cx:txData>
          </cx:tx>
          <cx:dataId val="3"/>
          <cx:layoutPr>
            <cx:visibility meanLine="0" meanMarker="1" nonoutliers="0" outliers="1"/>
            <cx:statistics quartileMethod="exclusive"/>
          </cx:layoutPr>
        </cx:series>
        <cx:series layoutId="boxWhisker" uniqueId="{2D8411A2-CA65-4BED-9FB4-CCA2D2CD79DA}">
          <cx:tx>
            <cx:txData>
              <cx:f>_xlchart.v1.19</cx:f>
              <cx:v>QA Engineer</cx:v>
            </cx:txData>
          </cx:tx>
          <cx:dataId val="4"/>
          <cx:layoutPr>
            <cx:visibility meanLine="0" meanMarker="1" nonoutliers="0" outliers="1"/>
            <cx:statistics quartileMethod="exclusive"/>
          </cx:layoutPr>
        </cx:series>
        <cx:series layoutId="boxWhisker" uniqueId="{C5E798E1-ECEC-4768-B1A6-4F7DED79F835}">
          <cx:tx>
            <cx:txData>
              <cx:f>_xlchart.v1.21</cx:f>
              <cx:v>DevOps</cx:v>
            </cx:txData>
          </cx:tx>
          <cx:dataId val="5"/>
          <cx:layoutPr>
            <cx:visibility meanLine="0" meanMarker="1" nonoutliers="0" outliers="1"/>
            <cx:statistics quartileMethod="exclusive"/>
          </cx:layoutPr>
        </cx:series>
        <cx:series layoutId="boxWhisker" uniqueId="{4CA5862E-E28E-4F0A-8283-2E40F1CABC16}">
          <cx:tx>
            <cx:txData>
              <cx:f>_xlchart.v1.23</cx:f>
              <cx:v>Mobile Developer</cx:v>
            </cx:txData>
          </cx:tx>
          <cx:dataId val="6"/>
          <cx:layoutPr>
            <cx:visibility meanLine="0" meanMarker="1" nonoutliers="0" outliers="1"/>
            <cx:statistics quartileMethod="exclusive"/>
          </cx:layoutPr>
        </cx:series>
      </cx:plotAreaRegion>
      <cx:axis id="0">
        <cx:catScaling gapWidth="1"/>
        <cx:title>
          <cx:tx>
            <cx:txData>
              <cx:v>Soft. Eng.   Back. Dev    Data Scie.    Front.    QA Eng.    DevOps    Mobile Dev</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Soft. Eng.   Back. Dev    Data Scie.    Front.    QA Eng.    DevOps    Mobile Dev</a:t>
              </a:r>
            </a:p>
          </cx:txPr>
        </cx:title>
        <cx:tickLabels/>
      </cx:axis>
      <cx:axis id="1">
        <cx:valScaling max="300000"/>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data id="1">
      <cx:numDim type="val">
        <cx:f>_xlchart.v1.28</cx:f>
      </cx:numDim>
    </cx:data>
    <cx:data id="2">
      <cx:numDim type="val">
        <cx:f>_xlchart.v1.30</cx:f>
      </cx:numDim>
    </cx:data>
    <cx:data id="3">
      <cx:numDim type="val">
        <cx:f>_xlchart.v1.32</cx:f>
      </cx:numDim>
    </cx:data>
    <cx:data id="4">
      <cx:numDim type="val">
        <cx:f>_xlchart.v1.34</cx:f>
      </cx:numDim>
    </cx:data>
  </cx:chartData>
  <cx:chart>
    <cx:title pos="t" align="ctr" overlay="0">
      <cx:tx>
        <cx:rich>
          <a:bodyPr spcFirstLastPara="1" vertOverflow="ellipsis" horzOverflow="overflow" wrap="square" lIns="0" tIns="0" rIns="0" bIns="0" anchor="ctr" anchorCtr="1"/>
          <a:lstStyle/>
          <a:p>
            <a:pPr rtl="0">
              <a:defRPr sz="1600"/>
            </a:pPr>
            <a:r>
              <a:rPr lang="pt-BR" sz="1600" b="0" i="0" baseline="0">
                <a:effectLst/>
              </a:rPr>
              <a:t>Box plot dos sálarios segundo a nível profissional</a:t>
            </a:r>
            <a:endParaRPr lang="pt-BR" sz="1600">
              <a:effectLst/>
            </a:endParaRPr>
          </a:p>
        </cx:rich>
      </cx:tx>
    </cx:title>
    <cx:plotArea>
      <cx:plotAreaRegion>
        <cx:series layoutId="boxWhisker" uniqueId="{0BA659E3-3DC2-4121-91C0-3C205B19E4E4}">
          <cx:tx>
            <cx:txData>
              <cx:f>_xlchart.v1.25</cx:f>
              <cx:v>Senior</cx:v>
            </cx:txData>
          </cx:tx>
          <cx:dataId val="0"/>
          <cx:layoutPr>
            <cx:visibility meanLine="0" meanMarker="1" nonoutliers="0" outliers="1"/>
            <cx:statistics quartileMethod="exclusive"/>
          </cx:layoutPr>
        </cx:series>
        <cx:series layoutId="boxWhisker" uniqueId="{5DEA296A-ADE0-49FF-A9A9-12884D36D99B}">
          <cx:tx>
            <cx:txData>
              <cx:f>_xlchart.v1.27</cx:f>
              <cx:v>Middle</cx:v>
            </cx:txData>
          </cx:tx>
          <cx:dataId val="1"/>
          <cx:layoutPr>
            <cx:visibility meanLine="0" meanMarker="1" nonoutliers="0" outliers="1"/>
            <cx:statistics quartileMethod="exclusive"/>
          </cx:layoutPr>
        </cx:series>
        <cx:series layoutId="boxWhisker" uniqueId="{9370EB57-2FE2-4131-80BF-560C1EFAF3D2}">
          <cx:tx>
            <cx:txData>
              <cx:f>_xlchart.v1.29</cx:f>
              <cx:v>Junior</cx:v>
            </cx:txData>
          </cx:tx>
          <cx:dataId val="2"/>
          <cx:layoutPr>
            <cx:visibility meanLine="0" meanMarker="1" nonoutliers="0" outliers="1"/>
            <cx:statistics quartileMethod="exclusive"/>
          </cx:layoutPr>
        </cx:series>
        <cx:series layoutId="boxWhisker" uniqueId="{34012A16-7F1F-450A-8C7A-7C69EDD947C8}">
          <cx:tx>
            <cx:txData>
              <cx:f>_xlchart.v1.31</cx:f>
              <cx:v>Lead</cx:v>
            </cx:txData>
          </cx:tx>
          <cx:dataId val="3"/>
          <cx:layoutPr>
            <cx:visibility meanLine="0" meanMarker="1" nonoutliers="0" outliers="1"/>
            <cx:statistics quartileMethod="exclusive"/>
          </cx:layoutPr>
        </cx:series>
        <cx:series layoutId="boxWhisker" uniqueId="{5FEA88CB-4A4A-41E1-9DCB-98A44E6BAE5B}">
          <cx:tx>
            <cx:txData>
              <cx:f>_xlchart.v1.33</cx:f>
              <cx:v>Head</cx:v>
            </cx:txData>
          </cx:tx>
          <cx:dataId val="4"/>
          <cx:layoutPr>
            <cx:visibility meanLine="0" meanMarker="1" nonoutliers="0" outliers="1"/>
            <cx:statistics quartileMethod="exclusive"/>
          </cx:layoutPr>
        </cx:series>
      </cx:plotAreaRegion>
      <cx:axis id="0">
        <cx:catScaling gapWidth="1"/>
        <cx:title>
          <cx:tx>
            <cx:txData>
              <cx:v>Senior            Middle              Junior              Lead               Head</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Senior            Middle              Junior              Lead               Head</a:t>
              </a:r>
            </a:p>
          </cx:txPr>
        </cx:title>
        <cx:tickLabels/>
      </cx:axis>
      <cx:axis id="1">
        <cx:valScaling max="300000"/>
        <cx:title>
          <cx:tx>
            <cx:txData>
              <cx:v>Salário</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Salário</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3" Type="http://schemas.openxmlformats.org/officeDocument/2006/relationships/hyperlink" Target="#Vari&#225;veis!A1"/><Relationship Id="rId2" Type="http://schemas.microsoft.com/office/2014/relationships/chartEx" Target="../charts/chartEx4.xml"/><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microsoft.com/office/2014/relationships/chartEx" Target="../charts/chartEx5.xml"/><Relationship Id="rId2" Type="http://schemas.openxmlformats.org/officeDocument/2006/relationships/hyperlink" Target="#Vari&#225;veis!A1"/><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hyperlink" Target="#Vari&#225;veis!A1"/></Relationships>
</file>

<file path=xl/drawings/_rels/drawing16.xml.rels><?xml version="1.0" encoding="UTF-8" standalone="yes"?>
<Relationships xmlns="http://schemas.openxmlformats.org/package/2006/relationships"><Relationship Id="rId2" Type="http://schemas.microsoft.com/office/2014/relationships/chartEx" Target="../charts/chartEx6.xml"/><Relationship Id="rId1" Type="http://schemas.openxmlformats.org/officeDocument/2006/relationships/hyperlink" Target="#Vari&#225;veis!A1"/></Relationships>
</file>

<file path=xl/drawings/_rels/drawing17.xml.rels><?xml version="1.0" encoding="UTF-8" standalone="yes"?>
<Relationships xmlns="http://schemas.openxmlformats.org/package/2006/relationships"><Relationship Id="rId2" Type="http://schemas.microsoft.com/office/2014/relationships/chartEx" Target="../charts/chartEx7.xml"/><Relationship Id="rId1" Type="http://schemas.openxmlformats.org/officeDocument/2006/relationships/hyperlink" Target="#Vari&#225;veis!A1"/></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hyperlink" Target="#Vari&#225;veis!A1"/></Relationships>
</file>

<file path=xl/drawings/_rels/drawing19.xml.rels><?xml version="1.0" encoding="UTF-8" standalone="yes"?>
<Relationships xmlns="http://schemas.openxmlformats.org/package/2006/relationships"><Relationship Id="rId2" Type="http://schemas.microsoft.com/office/2014/relationships/chartEx" Target="../charts/chartEx8.xml"/><Relationship Id="rId1" Type="http://schemas.openxmlformats.org/officeDocument/2006/relationships/hyperlink" Target="#Vari&#225;veis!A1"/></Relationships>
</file>

<file path=xl/drawings/_rels/drawing2.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5.xml"/><Relationship Id="rId4" Type="http://schemas.openxmlformats.org/officeDocument/2006/relationships/hyperlink" Target="#Vari&#225;veis!A1"/></Relationships>
</file>

<file path=xl/drawings/_rels/drawing7.xml.rels><?xml version="1.0" encoding="UTF-8" standalone="yes"?>
<Relationships xmlns="http://schemas.openxmlformats.org/package/2006/relationships"><Relationship Id="rId3" Type="http://schemas.openxmlformats.org/officeDocument/2006/relationships/hyperlink" Target="#Vari&#225;veis!A1"/><Relationship Id="rId2" Type="http://schemas.microsoft.com/office/2014/relationships/chartEx" Target="../charts/chartEx3.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hyperlink" Target="#Vari&#225;veis!A1"/><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1379220</xdr:colOff>
      <xdr:row>2</xdr:row>
      <xdr:rowOff>7620</xdr:rowOff>
    </xdr:to>
    <xdr:sp macro="" textlink="">
      <xdr:nvSpPr>
        <xdr:cNvPr id="2" name="CaixaDeTexto 1">
          <a:extLst>
            <a:ext uri="{FF2B5EF4-FFF2-40B4-BE49-F238E27FC236}">
              <a16:creationId xmlns:a16="http://schemas.microsoft.com/office/drawing/2014/main" id="{828F4C29-8DCB-4B7E-A549-F039E5725468}"/>
            </a:ext>
          </a:extLst>
        </xdr:cNvPr>
        <xdr:cNvSpPr txBox="1"/>
      </xdr:nvSpPr>
      <xdr:spPr>
        <a:xfrm>
          <a:off x="0" y="0"/>
          <a:ext cx="5120640" cy="3733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a:t>Primeira Parte: Entender as variáveis</a:t>
          </a:r>
        </a:p>
        <a:p>
          <a:pPr algn="ctr"/>
          <a:endParaRPr lang="pt-BR" sz="1100"/>
        </a:p>
      </xdr:txBody>
    </xdr:sp>
    <xdr:clientData/>
  </xdr:twoCellAnchor>
  <xdr:oneCellAnchor>
    <xdr:from>
      <xdr:col>3</xdr:col>
      <xdr:colOff>350520</xdr:colOff>
      <xdr:row>0</xdr:row>
      <xdr:rowOff>0</xdr:rowOff>
    </xdr:from>
    <xdr:ext cx="5227320" cy="4198620"/>
    <xdr:sp macro="" textlink="">
      <xdr:nvSpPr>
        <xdr:cNvPr id="3" name="CaixaDeTexto 2">
          <a:extLst>
            <a:ext uri="{FF2B5EF4-FFF2-40B4-BE49-F238E27FC236}">
              <a16:creationId xmlns:a16="http://schemas.microsoft.com/office/drawing/2014/main" id="{02EDDCD2-0F0E-4D60-814B-7280367B0C47}"/>
            </a:ext>
          </a:extLst>
        </xdr:cNvPr>
        <xdr:cNvSpPr txBox="1"/>
      </xdr:nvSpPr>
      <xdr:spPr>
        <a:xfrm>
          <a:off x="5494020" y="0"/>
          <a:ext cx="5227320" cy="4198620"/>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pt-BR" sz="1100"/>
            <a:t>Segunda</a:t>
          </a:r>
          <a:r>
            <a:rPr lang="pt-BR" sz="1100" baseline="0"/>
            <a:t> parte: Limpeza dos dados</a:t>
          </a:r>
        </a:p>
        <a:p>
          <a:pPr algn="l"/>
          <a:endParaRPr lang="pt-BR" sz="1100" baseline="0"/>
        </a:p>
        <a:p>
          <a:pPr algn="l"/>
          <a:r>
            <a:rPr lang="pt-BR" sz="1100" baseline="0"/>
            <a:t>Para arrumar os dados da tabela, primeiramente foi arrumado os números e textos para um padrão definido para cada variável, o que é comentado com mais detalhe nas abas de cada variável quando necessário. As análises bidimencionais foram considerados apenas os dados que completavam o (x,y), ou seja, que tinham os dois valores.</a:t>
          </a:r>
        </a:p>
        <a:p>
          <a:pPr algn="l"/>
          <a:endParaRPr lang="pt-BR" sz="1100" baseline="0"/>
        </a:p>
        <a:p>
          <a:pPr algn="l"/>
          <a:r>
            <a:rPr lang="pt-BR" sz="1100" baseline="0"/>
            <a:t>Nota-se que há certos valores faltantes. Como não há contexto de como foram coletados  os dados (se era obrigado responder todas as catogorias), decidi não excluir nenhum dado. Assim, apenas desconsiderei os valores nulos na análise de cada variável e valores muito fora do comum, como ter 365 dias de férias. </a:t>
          </a:r>
        </a:p>
        <a:p>
          <a:pPr algn="ctr"/>
          <a:endParaRPr lang="pt-BR" sz="1100" baseline="0"/>
        </a:p>
      </xdr:txBody>
    </xdr:sp>
    <xdr:clientData/>
  </xdr:oneCellAnchor>
  <xdr:oneCellAnchor>
    <xdr:from>
      <xdr:col>0</xdr:col>
      <xdr:colOff>251460</xdr:colOff>
      <xdr:row>17</xdr:row>
      <xdr:rowOff>53340</xdr:rowOff>
    </xdr:from>
    <xdr:ext cx="4945380" cy="457200"/>
    <xdr:sp macro="" textlink="">
      <xdr:nvSpPr>
        <xdr:cNvPr id="4" name="CaixaDeTexto 3">
          <a:extLst>
            <a:ext uri="{FF2B5EF4-FFF2-40B4-BE49-F238E27FC236}">
              <a16:creationId xmlns:a16="http://schemas.microsoft.com/office/drawing/2014/main" id="{D415580E-259F-4A10-8B27-AE29FA543E46}"/>
            </a:ext>
          </a:extLst>
        </xdr:cNvPr>
        <xdr:cNvSpPr txBox="1"/>
      </xdr:nvSpPr>
      <xdr:spPr>
        <a:xfrm>
          <a:off x="251460" y="3695700"/>
          <a:ext cx="4945380" cy="457200"/>
        </a:xfrm>
        <a:prstGeom prst="rect">
          <a:avLst/>
        </a:prstGeom>
        <a:solidFill>
          <a:srgbClr val="99CC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100"/>
            <a:t>Para facilitar a navegação,</a:t>
          </a:r>
          <a:r>
            <a:rPr lang="pt-BR" sz="1100" baseline="0"/>
            <a:t> apenas clique na variável e será redirecionado para aba com as análises unidimensionais da mesma.</a:t>
          </a:r>
        </a:p>
        <a:p>
          <a:endParaRPr lang="pt-BR" sz="1100" baseline="0"/>
        </a:p>
      </xdr:txBody>
    </xdr:sp>
    <xdr:clientData/>
  </xdr:oneCellAnchor>
  <xdr:oneCellAnchor>
    <xdr:from>
      <xdr:col>10</xdr:col>
      <xdr:colOff>579120</xdr:colOff>
      <xdr:row>0</xdr:row>
      <xdr:rowOff>0</xdr:rowOff>
    </xdr:from>
    <xdr:ext cx="3482340" cy="762000"/>
    <xdr:sp macro="" textlink="">
      <xdr:nvSpPr>
        <xdr:cNvPr id="5" name="CaixaDeTexto 4">
          <a:extLst>
            <a:ext uri="{FF2B5EF4-FFF2-40B4-BE49-F238E27FC236}">
              <a16:creationId xmlns:a16="http://schemas.microsoft.com/office/drawing/2014/main" id="{A2D629AE-C198-4AB9-B730-D6B405DE396E}"/>
            </a:ext>
          </a:extLst>
        </xdr:cNvPr>
        <xdr:cNvSpPr txBox="1"/>
      </xdr:nvSpPr>
      <xdr:spPr>
        <a:xfrm>
          <a:off x="11026140" y="0"/>
          <a:ext cx="3482340" cy="762000"/>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pt-BR" sz="1100"/>
            <a:t>Terceira</a:t>
          </a:r>
          <a:r>
            <a:rPr lang="pt-BR" sz="1100" baseline="0"/>
            <a:t> parte: Análise Bidimensional</a:t>
          </a:r>
        </a:p>
        <a:p>
          <a:pPr algn="ctr"/>
          <a:r>
            <a:rPr lang="pt-BR" sz="1100" baseline="0"/>
            <a:t>Clique aqui para ir para análise bidimensional.</a:t>
          </a:r>
        </a:p>
        <a:p>
          <a:pPr algn="ctr"/>
          <a:endParaRPr lang="pt-BR" sz="1100" baseline="0"/>
        </a:p>
      </xdr:txBody>
    </xdr:sp>
    <xdr:clientData/>
  </xdr:oneCellAnchor>
  <xdr:oneCellAnchor>
    <xdr:from>
      <xdr:col>10</xdr:col>
      <xdr:colOff>563880</xdr:colOff>
      <xdr:row>11</xdr:row>
      <xdr:rowOff>182880</xdr:rowOff>
    </xdr:from>
    <xdr:ext cx="3611880" cy="845820"/>
    <xdr:sp macro="" textlink="">
      <xdr:nvSpPr>
        <xdr:cNvPr id="6" name="CaixaDeTexto 5">
          <a:extLst>
            <a:ext uri="{FF2B5EF4-FFF2-40B4-BE49-F238E27FC236}">
              <a16:creationId xmlns:a16="http://schemas.microsoft.com/office/drawing/2014/main" id="{77109CCF-00C5-4A5B-8718-C2641B3396E8}"/>
            </a:ext>
          </a:extLst>
        </xdr:cNvPr>
        <xdr:cNvSpPr txBox="1"/>
      </xdr:nvSpPr>
      <xdr:spPr>
        <a:xfrm>
          <a:off x="11010900" y="2499360"/>
          <a:ext cx="3611880" cy="845820"/>
        </a:xfrm>
        <a:prstGeom prst="rect">
          <a:avLst/>
        </a:prstGeom>
        <a:solidFill>
          <a:srgbClr val="99CC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100"/>
            <a:t>Para facilitar a navegação,</a:t>
          </a:r>
          <a:r>
            <a:rPr lang="pt-BR" sz="1100" baseline="0"/>
            <a:t> apenas clique na variável e será redirecionado para aba com as análises bidimensionais da mesma.</a:t>
          </a:r>
        </a:p>
        <a:p>
          <a:endParaRPr lang="pt-BR" sz="1100" baseline="0"/>
        </a:p>
      </xdr:txBody>
    </xdr:sp>
    <xdr:clientData/>
  </xdr:oneCellAnchor>
  <xdr:oneCellAnchor>
    <xdr:from>
      <xdr:col>15</xdr:col>
      <xdr:colOff>167640</xdr:colOff>
      <xdr:row>0</xdr:row>
      <xdr:rowOff>0</xdr:rowOff>
    </xdr:from>
    <xdr:ext cx="5135880" cy="4168140"/>
    <xdr:sp macro="" textlink="">
      <xdr:nvSpPr>
        <xdr:cNvPr id="7" name="CaixaDeTexto 6">
          <a:extLst>
            <a:ext uri="{FF2B5EF4-FFF2-40B4-BE49-F238E27FC236}">
              <a16:creationId xmlns:a16="http://schemas.microsoft.com/office/drawing/2014/main" id="{1FF4F4B2-0AF6-442E-B6BC-86497D92289E}"/>
            </a:ext>
          </a:extLst>
        </xdr:cNvPr>
        <xdr:cNvSpPr txBox="1"/>
      </xdr:nvSpPr>
      <xdr:spPr>
        <a:xfrm>
          <a:off x="14737080" y="0"/>
          <a:ext cx="5135880" cy="4168140"/>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pt-BR" sz="1100" baseline="0"/>
            <a:t>Comentário Geral:</a:t>
          </a:r>
        </a:p>
        <a:p>
          <a:pPr algn="ctr"/>
          <a:r>
            <a:rPr lang="pt-BR" sz="1100" baseline="0"/>
            <a:t>Os Salários possuem uma grande variânça em todo banco de dados, o que pode ser explicado por diversos fatores. O mais explícito ao analisar essa base de dados foi o nível de experiência, o que faz sentido, uma vez que </a:t>
          </a:r>
          <a:r>
            <a:rPr lang="pt-BR" sz="1100" b="0" i="0">
              <a:solidFill>
                <a:schemeClr val="tx1"/>
              </a:solidFill>
              <a:effectLst/>
              <a:latin typeface="+mn-lt"/>
              <a:ea typeface="+mn-ea"/>
              <a:cs typeface="+mn-cs"/>
            </a:rPr>
            <a:t>classificam as</a:t>
          </a:r>
          <a:r>
            <a:rPr lang="pt-BR" sz="1100" b="0" i="0" baseline="0">
              <a:solidFill>
                <a:schemeClr val="tx1"/>
              </a:solidFill>
              <a:effectLst/>
              <a:latin typeface="+mn-lt"/>
              <a:ea typeface="+mn-ea"/>
              <a:cs typeface="+mn-cs"/>
            </a:rPr>
            <a:t> pessoas em </a:t>
          </a:r>
          <a:r>
            <a:rPr lang="pt-BR" sz="1100" b="0" i="0">
              <a:solidFill>
                <a:schemeClr val="tx1"/>
              </a:solidFill>
              <a:effectLst/>
              <a:latin typeface="+mn-lt"/>
              <a:ea typeface="+mn-ea"/>
              <a:cs typeface="+mn-cs"/>
            </a:rPr>
            <a:t>diversos aspectos, como nos níveis de experiências e responsabilidade, maturidade profissional e complexidade das tarefas que executam. Isso</a:t>
          </a:r>
          <a:r>
            <a:rPr lang="pt-BR" sz="1100" b="0" i="0" baseline="0">
              <a:solidFill>
                <a:schemeClr val="tx1"/>
              </a:solidFill>
              <a:effectLst/>
              <a:latin typeface="+mn-lt"/>
              <a:ea typeface="+mn-ea"/>
              <a:cs typeface="+mn-cs"/>
            </a:rPr>
            <a:t> significa que níveis mais altos recebem mais em comparação com os nível mais baixos. </a:t>
          </a:r>
        </a:p>
        <a:p>
          <a:pPr algn="ctr"/>
          <a:endParaRPr lang="pt-BR" sz="1100" b="0" i="0" baseline="0">
            <a:solidFill>
              <a:schemeClr val="tx1"/>
            </a:solidFill>
            <a:effectLst/>
            <a:latin typeface="+mn-lt"/>
            <a:ea typeface="+mn-ea"/>
            <a:cs typeface="+mn-cs"/>
          </a:endParaRPr>
        </a:p>
        <a:p>
          <a:pPr algn="ctr"/>
          <a:r>
            <a:rPr lang="pt-BR" sz="1100" b="0" i="0" baseline="0">
              <a:solidFill>
                <a:schemeClr val="tx1"/>
              </a:solidFill>
              <a:effectLst/>
              <a:latin typeface="+mn-lt"/>
              <a:ea typeface="+mn-ea"/>
              <a:cs typeface="+mn-cs"/>
            </a:rPr>
            <a:t>Em contrapartida, ter alguns anos de experiência faz  diferença no começo, no entanto, há uma quebra após certos anos, o que pode ser explicado ao pensar que apenas ter experiência não melhora o nível da pessoa, e, consequentemente, não faz a pessoa receber mais.</a:t>
          </a:r>
        </a:p>
        <a:p>
          <a:pPr algn="ctr"/>
          <a:endParaRPr lang="pt-BR"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pt-BR" sz="1100" b="0" i="0" baseline="0">
              <a:solidFill>
                <a:schemeClr val="tx1"/>
              </a:solidFill>
              <a:effectLst/>
              <a:latin typeface="+mn-lt"/>
              <a:ea typeface="+mn-ea"/>
              <a:cs typeface="+mn-cs"/>
            </a:rPr>
            <a:t>Por fim, nota-se </a:t>
          </a:r>
          <a:r>
            <a:rPr lang="pt-BR" sz="1100">
              <a:solidFill>
                <a:schemeClr val="tx1"/>
              </a:solidFill>
              <a:effectLst/>
              <a:latin typeface="+mn-lt"/>
              <a:ea typeface="+mn-ea"/>
              <a:cs typeface="+mn-cs"/>
            </a:rPr>
            <a:t>a diferença de</a:t>
          </a:r>
          <a:r>
            <a:rPr lang="pt-BR" sz="1100" baseline="0">
              <a:solidFill>
                <a:schemeClr val="tx1"/>
              </a:solidFill>
              <a:effectLst/>
              <a:latin typeface="+mn-lt"/>
              <a:ea typeface="+mn-ea"/>
              <a:cs typeface="+mn-cs"/>
            </a:rPr>
            <a:t> gênero na área de tecnologia, tendo apenas 15% de mulheres nos cargos de TI. Para reforçar, o salário do gênero masculino é em geral maior do que o salário do gênero feminino. Além disso, percebe-se que o gênero masculino possuí mais casos de pessoas recebendo muito acima do padrão esperado.</a:t>
          </a:r>
          <a:endParaRPr lang="pt-BR">
            <a:effectLst/>
          </a:endParaRPr>
        </a:p>
        <a:p>
          <a:pPr algn="ctr"/>
          <a:endParaRPr lang="pt-BR" sz="1100" b="0" i="0" baseline="0">
            <a:solidFill>
              <a:schemeClr val="tx1"/>
            </a:solidFill>
            <a:effectLst/>
            <a:latin typeface="+mn-lt"/>
            <a:ea typeface="+mn-ea"/>
            <a:cs typeface="+mn-cs"/>
          </a:endParaRPr>
        </a:p>
        <a:p>
          <a:pPr algn="ctr"/>
          <a:r>
            <a:rPr lang="pt-BR" sz="1100" b="0" i="0" baseline="0">
              <a:solidFill>
                <a:schemeClr val="tx1"/>
              </a:solidFill>
              <a:effectLst/>
              <a:latin typeface="+mn-lt"/>
              <a:ea typeface="+mn-ea"/>
              <a:cs typeface="+mn-cs"/>
            </a:rPr>
            <a:t>As demais análises secundárias estão nas abas de cada variável.</a:t>
          </a:r>
        </a:p>
      </xdr:txBody>
    </xdr:sp>
    <xdr:clientData/>
  </xdr:oneCellAnchor>
  <xdr:twoCellAnchor>
    <xdr:from>
      <xdr:col>0</xdr:col>
      <xdr:colOff>0</xdr:colOff>
      <xdr:row>20</xdr:row>
      <xdr:rowOff>152400</xdr:rowOff>
    </xdr:from>
    <xdr:to>
      <xdr:col>3</xdr:col>
      <xdr:colOff>83820</xdr:colOff>
      <xdr:row>23</xdr:row>
      <xdr:rowOff>83820</xdr:rowOff>
    </xdr:to>
    <xdr:sp macro="" textlink="">
      <xdr:nvSpPr>
        <xdr:cNvPr id="8" name="CaixaDeTexto 7">
          <a:extLst>
            <a:ext uri="{FF2B5EF4-FFF2-40B4-BE49-F238E27FC236}">
              <a16:creationId xmlns:a16="http://schemas.microsoft.com/office/drawing/2014/main" id="{FDC3D894-2FEB-4A1C-85C1-7616331280FF}"/>
            </a:ext>
          </a:extLst>
        </xdr:cNvPr>
        <xdr:cNvSpPr txBox="1"/>
      </xdr:nvSpPr>
      <xdr:spPr>
        <a:xfrm>
          <a:off x="0" y="4343400"/>
          <a:ext cx="5227320" cy="48006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600" b="1">
              <a:solidFill>
                <a:schemeClr val="bg1"/>
              </a:solidFill>
            </a:rPr>
            <a:t>Fabrício Dalvi Venturim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17</xdr:row>
      <xdr:rowOff>3810</xdr:rowOff>
    </xdr:from>
    <xdr:to>
      <xdr:col>8</xdr:col>
      <xdr:colOff>76200</xdr:colOff>
      <xdr:row>32</xdr:row>
      <xdr:rowOff>3810</xdr:rowOff>
    </xdr:to>
    <xdr:graphicFrame macro="">
      <xdr:nvGraphicFramePr>
        <xdr:cNvPr id="2" name="Gráfico 1">
          <a:extLst>
            <a:ext uri="{FF2B5EF4-FFF2-40B4-BE49-F238E27FC236}">
              <a16:creationId xmlns:a16="http://schemas.microsoft.com/office/drawing/2014/main" id="{6255F40B-80EB-4D4F-9BFC-446C8FA6C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3</xdr:row>
      <xdr:rowOff>144780</xdr:rowOff>
    </xdr:from>
    <xdr:to>
      <xdr:col>14</xdr:col>
      <xdr:colOff>198120</xdr:colOff>
      <xdr:row>32</xdr:row>
      <xdr:rowOff>22860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58B9F59B-84BE-404D-B578-007891AAD0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96200" y="693420"/>
              <a:ext cx="3299460" cy="517398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0</xdr:colOff>
      <xdr:row>0</xdr:row>
      <xdr:rowOff>7620</xdr:rowOff>
    </xdr:from>
    <xdr:to>
      <xdr:col>5</xdr:col>
      <xdr:colOff>441960</xdr:colOff>
      <xdr:row>2</xdr:row>
      <xdr:rowOff>45720</xdr:rowOff>
    </xdr:to>
    <xdr:sp macro="" textlink="">
      <xdr:nvSpPr>
        <xdr:cNvPr id="5" name="CaixaDeTexto 4">
          <a:extLst>
            <a:ext uri="{FF2B5EF4-FFF2-40B4-BE49-F238E27FC236}">
              <a16:creationId xmlns:a16="http://schemas.microsoft.com/office/drawing/2014/main" id="{444A5985-B9CE-4E0E-95D2-C356EAD93295}"/>
            </a:ext>
          </a:extLst>
        </xdr:cNvPr>
        <xdr:cNvSpPr txBox="1"/>
      </xdr:nvSpPr>
      <xdr:spPr>
        <a:xfrm>
          <a:off x="0" y="7620"/>
          <a:ext cx="4754880" cy="40386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Desconsiderando</a:t>
          </a:r>
          <a:r>
            <a:rPr lang="pt-BR" sz="1100" baseline="0"/>
            <a:t> os 3 valores absurdos de salário do banco de dados, temos:</a:t>
          </a:r>
          <a:endParaRPr lang="pt-BR" sz="1100"/>
        </a:p>
      </xdr:txBody>
    </xdr:sp>
    <xdr:clientData/>
  </xdr:twoCellAnchor>
  <xdr:twoCellAnchor>
    <xdr:from>
      <xdr:col>5</xdr:col>
      <xdr:colOff>556260</xdr:colOff>
      <xdr:row>0</xdr:row>
      <xdr:rowOff>99060</xdr:rowOff>
    </xdr:from>
    <xdr:to>
      <xdr:col>7</xdr:col>
      <xdr:colOff>236220</xdr:colOff>
      <xdr:row>2</xdr:row>
      <xdr:rowOff>38100</xdr:rowOff>
    </xdr:to>
    <xdr:sp macro="" textlink="">
      <xdr:nvSpPr>
        <xdr:cNvPr id="6" name="Retângulo: Cantos Arredondados 5">
          <a:hlinkClick xmlns:r="http://schemas.openxmlformats.org/officeDocument/2006/relationships" r:id="rId3"/>
          <a:extLst>
            <a:ext uri="{FF2B5EF4-FFF2-40B4-BE49-F238E27FC236}">
              <a16:creationId xmlns:a16="http://schemas.microsoft.com/office/drawing/2014/main" id="{F3A64BE7-B968-4DB6-B86C-5077BF3065B8}"/>
            </a:ext>
          </a:extLst>
        </xdr:cNvPr>
        <xdr:cNvSpPr/>
      </xdr:nvSpPr>
      <xdr:spPr>
        <a:xfrm>
          <a:off x="4869180" y="9906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480060</xdr:colOff>
      <xdr:row>32</xdr:row>
      <xdr:rowOff>121920</xdr:rowOff>
    </xdr:from>
    <xdr:to>
      <xdr:col>8</xdr:col>
      <xdr:colOff>182880</xdr:colOff>
      <xdr:row>37</xdr:row>
      <xdr:rowOff>68580</xdr:rowOff>
    </xdr:to>
    <xdr:sp macro="" textlink="">
      <xdr:nvSpPr>
        <xdr:cNvPr id="7" name="CaixaDeTexto 6">
          <a:extLst>
            <a:ext uri="{FF2B5EF4-FFF2-40B4-BE49-F238E27FC236}">
              <a16:creationId xmlns:a16="http://schemas.microsoft.com/office/drawing/2014/main" id="{EDAE4A6D-5886-42AF-B2EC-A307C09CAA00}"/>
            </a:ext>
          </a:extLst>
        </xdr:cNvPr>
        <xdr:cNvSpPr txBox="1"/>
      </xdr:nvSpPr>
      <xdr:spPr>
        <a:xfrm>
          <a:off x="480060" y="5966460"/>
          <a:ext cx="6842760" cy="8610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O salário</a:t>
          </a:r>
          <a:r>
            <a:rPr lang="pt-BR" sz="1100" baseline="0"/>
            <a:t> está bem simétrico no intervalo de 10000 e 110000 por ano, tendo a maior concentração entre 50000 e 90000 por ano. Apesar disso, percebe-se uma grande quantidade de outliers tanto acima quanto abaixo. Os outliers acima provavelmente são as pessoas com muita esperiência e com cargos de gerentes de equipe, enquanto os abaixos provavelmente são estagiários ou plenos com pouca esperiência.</a:t>
          </a:r>
          <a:endParaRPr lang="pt-BR" sz="1100" b="0" i="0" baseline="0">
            <a:solidFill>
              <a:schemeClr val="dk1"/>
            </a:solidFill>
            <a:effectLst/>
            <a:latin typeface="+mn-lt"/>
            <a:ea typeface="+mn-ea"/>
            <a:cs typeface="+mn-cs"/>
          </a:endParaRPr>
        </a:p>
        <a:p>
          <a:endParaRPr lang="pt-B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525780</xdr:colOff>
      <xdr:row>3</xdr:row>
      <xdr:rowOff>144780</xdr:rowOff>
    </xdr:to>
    <xdr:sp macro="" textlink="">
      <xdr:nvSpPr>
        <xdr:cNvPr id="2" name="CaixaDeTexto 1">
          <a:extLst>
            <a:ext uri="{FF2B5EF4-FFF2-40B4-BE49-F238E27FC236}">
              <a16:creationId xmlns:a16="http://schemas.microsoft.com/office/drawing/2014/main" id="{5A9B2CE1-0435-4FC1-BCEB-555ED7D03327}"/>
            </a:ext>
          </a:extLst>
        </xdr:cNvPr>
        <xdr:cNvSpPr txBox="1"/>
      </xdr:nvSpPr>
      <xdr:spPr>
        <a:xfrm>
          <a:off x="0" y="0"/>
          <a:ext cx="5402580" cy="69342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Nessa variável</a:t>
          </a:r>
          <a:r>
            <a:rPr lang="pt-BR" sz="1100" baseline="0"/>
            <a:t> muitos dados estão faltando, o que é indefinido, por falta de contexto da pesquisa, se os dados faltantes não recebem bônus. Portanto, nese caso  serão analisados apenas os dados computados com números. Além disso, foram tirados 3  valores fora do comum.</a:t>
          </a:r>
        </a:p>
        <a:p>
          <a:endParaRPr lang="pt-BR" sz="1100" baseline="0"/>
        </a:p>
        <a:p>
          <a:endParaRPr lang="pt-BR" sz="1100"/>
        </a:p>
      </xdr:txBody>
    </xdr:sp>
    <xdr:clientData/>
  </xdr:twoCellAnchor>
  <xdr:twoCellAnchor>
    <xdr:from>
      <xdr:col>5</xdr:col>
      <xdr:colOff>236220</xdr:colOff>
      <xdr:row>4</xdr:row>
      <xdr:rowOff>11430</xdr:rowOff>
    </xdr:from>
    <xdr:to>
      <xdr:col>15</xdr:col>
      <xdr:colOff>68580</xdr:colOff>
      <xdr:row>20</xdr:row>
      <xdr:rowOff>114300</xdr:rowOff>
    </xdr:to>
    <xdr:graphicFrame macro="">
      <xdr:nvGraphicFramePr>
        <xdr:cNvPr id="3" name="Gráfico 2">
          <a:extLst>
            <a:ext uri="{FF2B5EF4-FFF2-40B4-BE49-F238E27FC236}">
              <a16:creationId xmlns:a16="http://schemas.microsoft.com/office/drawing/2014/main" id="{A7DEF964-940E-4165-B724-F005BEE8F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0</xdr:row>
      <xdr:rowOff>30480</xdr:rowOff>
    </xdr:from>
    <xdr:to>
      <xdr:col>10</xdr:col>
      <xdr:colOff>327660</xdr:colOff>
      <xdr:row>1</xdr:row>
      <xdr:rowOff>152400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06A40384-CFBC-4315-B423-FA48724C346E}"/>
            </a:ext>
          </a:extLst>
        </xdr:cNvPr>
        <xdr:cNvSpPr/>
      </xdr:nvSpPr>
      <xdr:spPr>
        <a:xfrm>
          <a:off x="6355080" y="3048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5</xdr:col>
      <xdr:colOff>190500</xdr:colOff>
      <xdr:row>20</xdr:row>
      <xdr:rowOff>148590</xdr:rowOff>
    </xdr:from>
    <xdr:to>
      <xdr:col>15</xdr:col>
      <xdr:colOff>365760</xdr:colOff>
      <xdr:row>38</xdr:row>
      <xdr:rowOff>38100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7BA26DA7-55F3-493A-8E75-2A5BD05596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50180" y="3806190"/>
              <a:ext cx="6271260" cy="318135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99060</xdr:colOff>
      <xdr:row>29</xdr:row>
      <xdr:rowOff>167640</xdr:rowOff>
    </xdr:from>
    <xdr:to>
      <xdr:col>4</xdr:col>
      <xdr:colOff>342900</xdr:colOff>
      <xdr:row>32</xdr:row>
      <xdr:rowOff>114300</xdr:rowOff>
    </xdr:to>
    <xdr:sp macro="" textlink="">
      <xdr:nvSpPr>
        <xdr:cNvPr id="6" name="CaixaDeTexto 5">
          <a:extLst>
            <a:ext uri="{FF2B5EF4-FFF2-40B4-BE49-F238E27FC236}">
              <a16:creationId xmlns:a16="http://schemas.microsoft.com/office/drawing/2014/main" id="{1A341E83-E49C-46F8-B3A7-02682169FCD7}"/>
            </a:ext>
          </a:extLst>
        </xdr:cNvPr>
        <xdr:cNvSpPr txBox="1"/>
      </xdr:nvSpPr>
      <xdr:spPr>
        <a:xfrm>
          <a:off x="99060" y="5471160"/>
          <a:ext cx="4495800" cy="49530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grande maioria</a:t>
          </a:r>
          <a:r>
            <a:rPr lang="pt-BR" sz="1100" baseline="0"/>
            <a:t> recebe entre de 0 à 10000 de bônus anuais. Entretanto, como dito acima, </a:t>
          </a:r>
          <a:r>
            <a:rPr lang="pt-BR" sz="1100" baseline="0">
              <a:solidFill>
                <a:schemeClr val="dk1"/>
              </a:solidFill>
              <a:effectLst/>
              <a:latin typeface="+mn-lt"/>
              <a:ea typeface="+mn-ea"/>
              <a:cs typeface="+mn-cs"/>
            </a:rPr>
            <a:t>muitos dados estão faltando, o que é indefinido, por falta de contexto da pesquisa, se os dados faltantes não recebem bônus.</a:t>
          </a:r>
          <a:endParaRPr lang="pt-BR" sz="1100" b="0" i="0" baseline="0">
            <a:solidFill>
              <a:schemeClr val="dk1"/>
            </a:solidFill>
            <a:effectLst/>
            <a:latin typeface="+mn-lt"/>
            <a:ea typeface="+mn-ea"/>
            <a:cs typeface="+mn-cs"/>
          </a:endParaRPr>
        </a:p>
        <a:p>
          <a:endParaRPr lang="pt-B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182880</xdr:colOff>
      <xdr:row>2</xdr:row>
      <xdr:rowOff>60960</xdr:rowOff>
    </xdr:to>
    <xdr:sp macro="" textlink="">
      <xdr:nvSpPr>
        <xdr:cNvPr id="2" name="CaixaDeTexto 1">
          <a:extLst>
            <a:ext uri="{FF2B5EF4-FFF2-40B4-BE49-F238E27FC236}">
              <a16:creationId xmlns:a16="http://schemas.microsoft.com/office/drawing/2014/main" id="{71B34CEC-5B89-4902-9C05-FD448D6B750E}"/>
            </a:ext>
          </a:extLst>
        </xdr:cNvPr>
        <xdr:cNvSpPr txBox="1"/>
      </xdr:nvSpPr>
      <xdr:spPr>
        <a:xfrm>
          <a:off x="0" y="0"/>
          <a:ext cx="58826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Mais um caso com valores muito fora da média.</a:t>
          </a:r>
          <a:r>
            <a:rPr lang="pt-BR" sz="1100" baseline="0"/>
            <a:t> Dessa forma, também foram retirados.</a:t>
          </a:r>
        </a:p>
        <a:p>
          <a:endParaRPr lang="pt-BR" sz="1100" baseline="0"/>
        </a:p>
        <a:p>
          <a:endParaRPr lang="pt-BR" sz="1100"/>
        </a:p>
      </xdr:txBody>
    </xdr:sp>
    <xdr:clientData/>
  </xdr:twoCellAnchor>
  <xdr:twoCellAnchor>
    <xdr:from>
      <xdr:col>5</xdr:col>
      <xdr:colOff>426720</xdr:colOff>
      <xdr:row>2</xdr:row>
      <xdr:rowOff>64770</xdr:rowOff>
    </xdr:from>
    <xdr:to>
      <xdr:col>13</xdr:col>
      <xdr:colOff>121920</xdr:colOff>
      <xdr:row>17</xdr:row>
      <xdr:rowOff>64770</xdr:rowOff>
    </xdr:to>
    <xdr:graphicFrame macro="">
      <xdr:nvGraphicFramePr>
        <xdr:cNvPr id="3" name="Gráfico 2">
          <a:extLst>
            <a:ext uri="{FF2B5EF4-FFF2-40B4-BE49-F238E27FC236}">
              <a16:creationId xmlns:a16="http://schemas.microsoft.com/office/drawing/2014/main" id="{7BAE4FED-86C7-4932-A614-7E15EE9DF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213360</xdr:colOff>
      <xdr:row>0</xdr:row>
      <xdr:rowOff>0</xdr:rowOff>
    </xdr:from>
    <xdr:to>
      <xdr:col>9</xdr:col>
      <xdr:colOff>502920</xdr:colOff>
      <xdr:row>1</xdr:row>
      <xdr:rowOff>121920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1CEE3142-0A25-485F-B64C-2F86BE7072B4}"/>
            </a:ext>
          </a:extLst>
        </xdr:cNvPr>
        <xdr:cNvSpPr/>
      </xdr:nvSpPr>
      <xdr:spPr>
        <a:xfrm>
          <a:off x="5913120" y="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1</xdr:col>
      <xdr:colOff>0</xdr:colOff>
      <xdr:row>24</xdr:row>
      <xdr:rowOff>76200</xdr:rowOff>
    </xdr:from>
    <xdr:to>
      <xdr:col>9</xdr:col>
      <xdr:colOff>365760</xdr:colOff>
      <xdr:row>27</xdr:row>
      <xdr:rowOff>22860</xdr:rowOff>
    </xdr:to>
    <xdr:sp macro="" textlink="">
      <xdr:nvSpPr>
        <xdr:cNvPr id="5" name="CaixaDeTexto 4">
          <a:extLst>
            <a:ext uri="{FF2B5EF4-FFF2-40B4-BE49-F238E27FC236}">
              <a16:creationId xmlns:a16="http://schemas.microsoft.com/office/drawing/2014/main" id="{29070BC1-3D45-4C66-964D-ED857FA8E2B7}"/>
            </a:ext>
          </a:extLst>
        </xdr:cNvPr>
        <xdr:cNvSpPr txBox="1"/>
      </xdr:nvSpPr>
      <xdr:spPr>
        <a:xfrm>
          <a:off x="609600" y="4465320"/>
          <a:ext cx="6842760" cy="49530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Analisando as</a:t>
          </a:r>
          <a:r>
            <a:rPr lang="pt-BR" sz="1100" baseline="0"/>
            <a:t> tabelas e o histograma, é nítido que mais de 95% das pessoas possuem de 15 a 45 dias de férias por ano, sendo um mês o padrão.</a:t>
          </a:r>
          <a:endParaRPr lang="pt-BR" sz="1100" b="0" i="0" baseline="0">
            <a:solidFill>
              <a:schemeClr val="dk1"/>
            </a:solidFill>
            <a:effectLst/>
            <a:latin typeface="+mn-lt"/>
            <a:ea typeface="+mn-ea"/>
            <a:cs typeface="+mn-cs"/>
          </a:endParaRPr>
        </a:p>
        <a:p>
          <a:endParaRPr lang="pt-B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152400</xdr:colOff>
      <xdr:row>0</xdr:row>
      <xdr:rowOff>0</xdr:rowOff>
    </xdr:from>
    <xdr:to>
      <xdr:col>13</xdr:col>
      <xdr:colOff>297180</xdr:colOff>
      <xdr:row>17</xdr:row>
      <xdr:rowOff>0</xdr:rowOff>
    </xdr:to>
    <xdr:graphicFrame macro="">
      <xdr:nvGraphicFramePr>
        <xdr:cNvPr id="3" name="Gráfico 2">
          <a:extLst>
            <a:ext uri="{FF2B5EF4-FFF2-40B4-BE49-F238E27FC236}">
              <a16:creationId xmlns:a16="http://schemas.microsoft.com/office/drawing/2014/main" id="{3C0626C1-5CBF-4D4D-A5BC-0B3AB88BB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518160</xdr:colOff>
      <xdr:row>0</xdr:row>
      <xdr:rowOff>106680</xdr:rowOff>
    </xdr:from>
    <xdr:to>
      <xdr:col>15</xdr:col>
      <xdr:colOff>198120</xdr:colOff>
      <xdr:row>2</xdr:row>
      <xdr:rowOff>45720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2D4A9226-C676-4E7B-B423-A917E0C47336}"/>
            </a:ext>
          </a:extLst>
        </xdr:cNvPr>
        <xdr:cNvSpPr/>
      </xdr:nvSpPr>
      <xdr:spPr>
        <a:xfrm>
          <a:off x="9852660" y="10668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1</xdr:col>
      <xdr:colOff>0</xdr:colOff>
      <xdr:row>19</xdr:row>
      <xdr:rowOff>0</xdr:rowOff>
    </xdr:from>
    <xdr:to>
      <xdr:col>9</xdr:col>
      <xdr:colOff>182880</xdr:colOff>
      <xdr:row>22</xdr:row>
      <xdr:rowOff>76200</xdr:rowOff>
    </xdr:to>
    <xdr:sp macro="" textlink="">
      <xdr:nvSpPr>
        <xdr:cNvPr id="5" name="CaixaDeTexto 4">
          <a:extLst>
            <a:ext uri="{FF2B5EF4-FFF2-40B4-BE49-F238E27FC236}">
              <a16:creationId xmlns:a16="http://schemas.microsoft.com/office/drawing/2014/main" id="{24E79565-B2A8-4B75-B24B-2D0A982DFB88}"/>
            </a:ext>
          </a:extLst>
        </xdr:cNvPr>
        <xdr:cNvSpPr txBox="1"/>
      </xdr:nvSpPr>
      <xdr:spPr>
        <a:xfrm>
          <a:off x="609600" y="3474720"/>
          <a:ext cx="6842760" cy="6248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Aqui ocorre algo super interresante:</a:t>
          </a:r>
          <a:r>
            <a:rPr lang="pt-BR" sz="1100" baseline="0"/>
            <a:t> Apesar da grande maioria dos entrevistados estarem em cidades alemãs, a língua predominante no trabalho é o inglês com 85% dos casos, para só depois vim o alemão com apenas 15% dos casos. Isso demonstra a importância do inglês no mundo da programação e TI, independentemente do local. </a:t>
          </a:r>
          <a:endParaRPr lang="pt-BR" sz="1100" b="0" i="0" baseline="0">
            <a:solidFill>
              <a:schemeClr val="dk1"/>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53340</xdr:colOff>
      <xdr:row>0</xdr:row>
      <xdr:rowOff>0</xdr:rowOff>
    </xdr:from>
    <xdr:to>
      <xdr:col>12</xdr:col>
      <xdr:colOff>358140</xdr:colOff>
      <xdr:row>13</xdr:row>
      <xdr:rowOff>0</xdr:rowOff>
    </xdr:to>
    <xdr:graphicFrame macro="">
      <xdr:nvGraphicFramePr>
        <xdr:cNvPr id="2" name="Gráfico 1">
          <a:extLst>
            <a:ext uri="{FF2B5EF4-FFF2-40B4-BE49-F238E27FC236}">
              <a16:creationId xmlns:a16="http://schemas.microsoft.com/office/drawing/2014/main" id="{E819C46E-3AF3-449D-A43D-7FAD22235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0</xdr:row>
      <xdr:rowOff>137160</xdr:rowOff>
    </xdr:from>
    <xdr:to>
      <xdr:col>14</xdr:col>
      <xdr:colOff>297180</xdr:colOff>
      <xdr:row>2</xdr:row>
      <xdr:rowOff>76200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10B75E1E-D19F-406F-A423-14C18BD19E1E}"/>
            </a:ext>
          </a:extLst>
        </xdr:cNvPr>
        <xdr:cNvSpPr/>
      </xdr:nvSpPr>
      <xdr:spPr>
        <a:xfrm>
          <a:off x="9364980" y="13716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0</xdr:colOff>
      <xdr:row>12</xdr:row>
      <xdr:rowOff>7620</xdr:rowOff>
    </xdr:from>
    <xdr:to>
      <xdr:col>5</xdr:col>
      <xdr:colOff>38100</xdr:colOff>
      <xdr:row>15</xdr:row>
      <xdr:rowOff>114300</xdr:rowOff>
    </xdr:to>
    <xdr:sp macro="" textlink="">
      <xdr:nvSpPr>
        <xdr:cNvPr id="4" name="CaixaDeTexto 3">
          <a:extLst>
            <a:ext uri="{FF2B5EF4-FFF2-40B4-BE49-F238E27FC236}">
              <a16:creationId xmlns:a16="http://schemas.microsoft.com/office/drawing/2014/main" id="{2B4F1F99-5F30-41EA-91AC-74B89DCDA403}"/>
            </a:ext>
          </a:extLst>
        </xdr:cNvPr>
        <xdr:cNvSpPr txBox="1"/>
      </xdr:nvSpPr>
      <xdr:spPr>
        <a:xfrm>
          <a:off x="0" y="2202180"/>
          <a:ext cx="4975860" cy="65532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Não</a:t>
          </a:r>
          <a:r>
            <a:rPr lang="pt-BR" sz="1100" baseline="0"/>
            <a:t> sei se é possível realizar as medidas nesse caso, uma vez que, apesar de consegui usar a média dos intervalos, é impossível saber o quanto &gt;1000 são as empresas.</a:t>
          </a:r>
          <a:endParaRPr lang="pt-BR" sz="1100" b="0" i="0" u="none" strike="noStrike" baseline="0">
            <a:solidFill>
              <a:schemeClr val="dk1"/>
            </a:solidFill>
            <a:effectLst/>
            <a:latin typeface="+mn-lt"/>
            <a:ea typeface="+mn-ea"/>
            <a:cs typeface="+mn-cs"/>
          </a:endParaRPr>
        </a:p>
        <a:p>
          <a:endParaRPr lang="pt-BR" sz="1100"/>
        </a:p>
      </xdr:txBody>
    </xdr:sp>
    <xdr:clientData/>
  </xdr:twoCellAnchor>
  <xdr:twoCellAnchor>
    <xdr:from>
      <xdr:col>0</xdr:col>
      <xdr:colOff>0</xdr:colOff>
      <xdr:row>16</xdr:row>
      <xdr:rowOff>91440</xdr:rowOff>
    </xdr:from>
    <xdr:to>
      <xdr:col>8</xdr:col>
      <xdr:colOff>76200</xdr:colOff>
      <xdr:row>19</xdr:row>
      <xdr:rowOff>167640</xdr:rowOff>
    </xdr:to>
    <xdr:sp macro="" textlink="">
      <xdr:nvSpPr>
        <xdr:cNvPr id="5" name="CaixaDeTexto 4">
          <a:extLst>
            <a:ext uri="{FF2B5EF4-FFF2-40B4-BE49-F238E27FC236}">
              <a16:creationId xmlns:a16="http://schemas.microsoft.com/office/drawing/2014/main" id="{E729DE1C-B950-40B2-ACE9-4A3EED55B6B7}"/>
            </a:ext>
          </a:extLst>
        </xdr:cNvPr>
        <xdr:cNvSpPr txBox="1"/>
      </xdr:nvSpPr>
      <xdr:spPr>
        <a:xfrm>
          <a:off x="0" y="3017520"/>
          <a:ext cx="6842760" cy="6248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maior parte das empresas</a:t>
          </a:r>
          <a:r>
            <a:rPr lang="pt-BR" sz="1100" baseline="0"/>
            <a:t> dos entrevistados são consideradas grandes (acima de 100 funcionários). Como dito, é uma pena não poder saber o quanto grande exatamente são as empresas que estão classificadas com mais de 1000 funcionários. </a:t>
          </a:r>
          <a:endParaRPr lang="pt-BR" sz="1100" b="0" i="0" baseline="0">
            <a:solidFill>
              <a:schemeClr val="dk1"/>
            </a:solidFill>
            <a:effectLst/>
            <a:latin typeface="+mn-lt"/>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403860</xdr:colOff>
      <xdr:row>0</xdr:row>
      <xdr:rowOff>91440</xdr:rowOff>
    </xdr:from>
    <xdr:to>
      <xdr:col>13</xdr:col>
      <xdr:colOff>83820</xdr:colOff>
      <xdr:row>2</xdr:row>
      <xdr:rowOff>30480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id="{7B48E38A-F005-4757-8BDD-D38C5A8E8F42}"/>
            </a:ext>
          </a:extLst>
        </xdr:cNvPr>
        <xdr:cNvSpPr/>
      </xdr:nvSpPr>
      <xdr:spPr>
        <a:xfrm>
          <a:off x="11650980" y="9144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1</xdr:col>
      <xdr:colOff>487680</xdr:colOff>
      <xdr:row>1</xdr:row>
      <xdr:rowOff>175260</xdr:rowOff>
    </xdr:from>
    <xdr:to>
      <xdr:col>7</xdr:col>
      <xdr:colOff>487680</xdr:colOff>
      <xdr:row>5</xdr:row>
      <xdr:rowOff>68580</xdr:rowOff>
    </xdr:to>
    <xdr:sp macro="" textlink="">
      <xdr:nvSpPr>
        <xdr:cNvPr id="5" name="CaixaDeTexto 4">
          <a:extLst>
            <a:ext uri="{FF2B5EF4-FFF2-40B4-BE49-F238E27FC236}">
              <a16:creationId xmlns:a16="http://schemas.microsoft.com/office/drawing/2014/main" id="{9193D9A3-0C5D-4B52-B190-5F54A5EE20AB}"/>
            </a:ext>
          </a:extLst>
        </xdr:cNvPr>
        <xdr:cNvSpPr txBox="1"/>
      </xdr:nvSpPr>
      <xdr:spPr>
        <a:xfrm>
          <a:off x="1097280" y="358140"/>
          <a:ext cx="5410200" cy="6248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estamos lidando com duas variáveis</a:t>
          </a:r>
          <a:r>
            <a:rPr lang="pt-BR" sz="1100" baseline="0"/>
            <a:t> quantitativas, consideremos apenas os dados que tiver idade e salário completos, a fim de realizar um gráfico de dispersão com os pontos (X, Y) sendo a idade e o salário, respectivamente. </a:t>
          </a:r>
          <a:endParaRPr lang="pt-BR" sz="1100"/>
        </a:p>
      </xdr:txBody>
    </xdr:sp>
    <xdr:clientData/>
  </xdr:twoCellAnchor>
  <xdr:twoCellAnchor>
    <xdr:from>
      <xdr:col>0</xdr:col>
      <xdr:colOff>0</xdr:colOff>
      <xdr:row>20</xdr:row>
      <xdr:rowOff>125730</xdr:rowOff>
    </xdr:from>
    <xdr:to>
      <xdr:col>8</xdr:col>
      <xdr:colOff>441960</xdr:colOff>
      <xdr:row>51</xdr:row>
      <xdr:rowOff>99060</xdr:rowOff>
    </xdr:to>
    <xdr:graphicFrame macro="">
      <xdr:nvGraphicFramePr>
        <xdr:cNvPr id="6" name="Gráfico 5">
          <a:extLst>
            <a:ext uri="{FF2B5EF4-FFF2-40B4-BE49-F238E27FC236}">
              <a16:creationId xmlns:a16="http://schemas.microsoft.com/office/drawing/2014/main" id="{D429C6D8-3D21-4E1A-A54A-0F0DC1110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51</xdr:row>
      <xdr:rowOff>152400</xdr:rowOff>
    </xdr:from>
    <xdr:to>
      <xdr:col>8</xdr:col>
      <xdr:colOff>236220</xdr:colOff>
      <xdr:row>56</xdr:row>
      <xdr:rowOff>53340</xdr:rowOff>
    </xdr:to>
    <xdr:sp macro="" textlink="">
      <xdr:nvSpPr>
        <xdr:cNvPr id="7" name="CaixaDeTexto 6">
          <a:extLst>
            <a:ext uri="{FF2B5EF4-FFF2-40B4-BE49-F238E27FC236}">
              <a16:creationId xmlns:a16="http://schemas.microsoft.com/office/drawing/2014/main" id="{2D48A682-C3D8-4BD9-82F5-BF2BC02F0F6E}"/>
            </a:ext>
          </a:extLst>
        </xdr:cNvPr>
        <xdr:cNvSpPr txBox="1"/>
      </xdr:nvSpPr>
      <xdr:spPr>
        <a:xfrm>
          <a:off x="3573780" y="9479280"/>
          <a:ext cx="4335780" cy="8153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Isso indica</a:t>
          </a:r>
          <a:r>
            <a:rPr lang="pt-BR" sz="1100" baseline="0"/>
            <a:t> que, uma vez que a fórmula correl do excel varia entre</a:t>
          </a:r>
        </a:p>
        <a:p>
          <a:r>
            <a:rPr lang="pt-BR" sz="1100" baseline="0"/>
            <a:t> -1 e 1 (sendo -1 indicativo de variáveis inversamente proporcionais, 1 indicativo de variáveis diretamente proporcionais e 0 nulo), a idade não influencia tanto no salário.</a:t>
          </a:r>
        </a:p>
        <a:p>
          <a:r>
            <a:rPr lang="pt-BR" sz="1100" baseline="0"/>
            <a:t> </a:t>
          </a:r>
          <a:endParaRPr lang="pt-B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129540</xdr:colOff>
      <xdr:row>0</xdr:row>
      <xdr:rowOff>0</xdr:rowOff>
    </xdr:from>
    <xdr:to>
      <xdr:col>11</xdr:col>
      <xdr:colOff>419100</xdr:colOff>
      <xdr:row>1</xdr:row>
      <xdr:rowOff>0</xdr:rowOff>
    </xdr:to>
    <xdr:sp macro="" textlink="">
      <xdr:nvSpPr>
        <xdr:cNvPr id="3" name="Retângulo: Cantos Arredondados 2">
          <a:hlinkClick xmlns:r="http://schemas.openxmlformats.org/officeDocument/2006/relationships" r:id="rId1"/>
          <a:extLst>
            <a:ext uri="{FF2B5EF4-FFF2-40B4-BE49-F238E27FC236}">
              <a16:creationId xmlns:a16="http://schemas.microsoft.com/office/drawing/2014/main" id="{E7136A9D-FBC9-4E03-8ED1-853DC266C617}"/>
            </a:ext>
          </a:extLst>
        </xdr:cNvPr>
        <xdr:cNvSpPr/>
      </xdr:nvSpPr>
      <xdr:spPr>
        <a:xfrm>
          <a:off x="6652260" y="0"/>
          <a:ext cx="899160" cy="373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0</xdr:colOff>
      <xdr:row>1</xdr:row>
      <xdr:rowOff>53340</xdr:rowOff>
    </xdr:from>
    <xdr:to>
      <xdr:col>9</xdr:col>
      <xdr:colOff>480060</xdr:colOff>
      <xdr:row>4</xdr:row>
      <xdr:rowOff>83820</xdr:rowOff>
    </xdr:to>
    <xdr:sp macro="" textlink="">
      <xdr:nvSpPr>
        <xdr:cNvPr id="4" name="CaixaDeTexto 3">
          <a:extLst>
            <a:ext uri="{FF2B5EF4-FFF2-40B4-BE49-F238E27FC236}">
              <a16:creationId xmlns:a16="http://schemas.microsoft.com/office/drawing/2014/main" id="{E0606344-178D-4DB7-953A-1861BC79B36A}"/>
            </a:ext>
          </a:extLst>
        </xdr:cNvPr>
        <xdr:cNvSpPr txBox="1"/>
      </xdr:nvSpPr>
      <xdr:spPr>
        <a:xfrm>
          <a:off x="0" y="426720"/>
          <a:ext cx="6179820" cy="57912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estamos lidando com uma variável qualitativa</a:t>
          </a:r>
          <a:r>
            <a:rPr lang="pt-BR" sz="1100" baseline="0"/>
            <a:t> e uma quantitativa, consideremos apenas os dados que tiver gênero e salário completos, a fim de fazer um cálculo mais preciso.</a:t>
          </a:r>
          <a:endParaRPr lang="pt-BR" sz="1100"/>
        </a:p>
      </xdr:txBody>
    </xdr:sp>
    <xdr:clientData/>
  </xdr:twoCellAnchor>
  <xdr:twoCellAnchor>
    <xdr:from>
      <xdr:col>0</xdr:col>
      <xdr:colOff>91440</xdr:colOff>
      <xdr:row>9</xdr:row>
      <xdr:rowOff>95250</xdr:rowOff>
    </xdr:from>
    <xdr:to>
      <xdr:col>9</xdr:col>
      <xdr:colOff>533400</xdr:colOff>
      <xdr:row>32</xdr:row>
      <xdr:rowOff>175260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6680230C-C500-440C-98BC-DF726CDA69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40" y="1931670"/>
              <a:ext cx="6355080" cy="428625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0</xdr:colOff>
      <xdr:row>33</xdr:row>
      <xdr:rowOff>91440</xdr:rowOff>
    </xdr:from>
    <xdr:to>
      <xdr:col>9</xdr:col>
      <xdr:colOff>556260</xdr:colOff>
      <xdr:row>38</xdr:row>
      <xdr:rowOff>91440</xdr:rowOff>
    </xdr:to>
    <xdr:sp macro="" textlink="">
      <xdr:nvSpPr>
        <xdr:cNvPr id="6" name="CaixaDeTexto 5">
          <a:extLst>
            <a:ext uri="{FF2B5EF4-FFF2-40B4-BE49-F238E27FC236}">
              <a16:creationId xmlns:a16="http://schemas.microsoft.com/office/drawing/2014/main" id="{AE8B7DEA-873D-4D91-BB14-E381AE0563D3}"/>
            </a:ext>
          </a:extLst>
        </xdr:cNvPr>
        <xdr:cNvSpPr txBox="1"/>
      </xdr:nvSpPr>
      <xdr:spPr>
        <a:xfrm>
          <a:off x="0" y="6316980"/>
          <a:ext cx="6469380" cy="91440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leitura desses resultados sugere uma</a:t>
          </a:r>
          <a:r>
            <a:rPr lang="pt-BR" sz="1100" baseline="0"/>
            <a:t> leve dependência dos salários em relação ao gênero da pessoa, uma vez que 4.6% da variabilidade dos salários é explicada pelo gênero: o salário do gênero masculino é em geral maior do que o salário do gênero feminino. Além disso, percebe-se que o gênero masculino possuí mais casos de pessoas recebendo muito acima do padrão esperado.</a:t>
          </a:r>
          <a:endParaRPr lang="pt-B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297180</xdr:colOff>
      <xdr:row>6</xdr:row>
      <xdr:rowOff>76200</xdr:rowOff>
    </xdr:to>
    <xdr:sp macro="" textlink="">
      <xdr:nvSpPr>
        <xdr:cNvPr id="3" name="CaixaDeTexto 2">
          <a:extLst>
            <a:ext uri="{FF2B5EF4-FFF2-40B4-BE49-F238E27FC236}">
              <a16:creationId xmlns:a16="http://schemas.microsoft.com/office/drawing/2014/main" id="{0F6D0E8E-D87A-4DDC-ACCE-68B055D3CD5F}"/>
            </a:ext>
          </a:extLst>
        </xdr:cNvPr>
        <xdr:cNvSpPr txBox="1"/>
      </xdr:nvSpPr>
      <xdr:spPr>
        <a:xfrm>
          <a:off x="0" y="548640"/>
          <a:ext cx="6393180" cy="80772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estamos lidando com uma variável qualitativa</a:t>
          </a:r>
          <a:r>
            <a:rPr lang="pt-BR" sz="1100" baseline="0"/>
            <a:t> e uma quantitativa, consideremos apenas os dados que tiver posição profissional e salário completos, a fim de fazer um cálculo mais preciso. Além disso, consideremos apenas as posições profissionais da tabela realizada no estudo unidimensional da variável Position. Foram escolhidos apenas as posições com mais de 50 pessoas, pois com poucos dados é difícil ter uma ideia do geral.</a:t>
          </a:r>
        </a:p>
        <a:p>
          <a:endParaRPr lang="pt-BR" sz="1100"/>
        </a:p>
      </xdr:txBody>
    </xdr:sp>
    <xdr:clientData/>
  </xdr:twoCellAnchor>
  <xdr:twoCellAnchor>
    <xdr:from>
      <xdr:col>8</xdr:col>
      <xdr:colOff>76200</xdr:colOff>
      <xdr:row>0</xdr:row>
      <xdr:rowOff>0</xdr:rowOff>
    </xdr:from>
    <xdr:to>
      <xdr:col>10</xdr:col>
      <xdr:colOff>0</xdr:colOff>
      <xdr:row>2</xdr:row>
      <xdr:rowOff>7620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808B80B9-6F52-47F2-972D-69AD4B37C8ED}"/>
            </a:ext>
          </a:extLst>
        </xdr:cNvPr>
        <xdr:cNvSpPr/>
      </xdr:nvSpPr>
      <xdr:spPr>
        <a:xfrm>
          <a:off x="7780020" y="0"/>
          <a:ext cx="1143000" cy="373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68580</xdr:colOff>
      <xdr:row>17</xdr:row>
      <xdr:rowOff>60960</xdr:rowOff>
    </xdr:from>
    <xdr:to>
      <xdr:col>9</xdr:col>
      <xdr:colOff>403860</xdr:colOff>
      <xdr:row>37</xdr:row>
      <xdr:rowOff>68580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3B9B1960-CB7B-40AC-9AD8-0E0D2E18F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580" y="3169920"/>
              <a:ext cx="7429500" cy="366522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342900</xdr:colOff>
      <xdr:row>38</xdr:row>
      <xdr:rowOff>22860</xdr:rowOff>
    </xdr:from>
    <xdr:to>
      <xdr:col>9</xdr:col>
      <xdr:colOff>30480</xdr:colOff>
      <xdr:row>40</xdr:row>
      <xdr:rowOff>175260</xdr:rowOff>
    </xdr:to>
    <xdr:sp macro="" textlink="">
      <xdr:nvSpPr>
        <xdr:cNvPr id="7" name="CaixaDeTexto 6">
          <a:extLst>
            <a:ext uri="{FF2B5EF4-FFF2-40B4-BE49-F238E27FC236}">
              <a16:creationId xmlns:a16="http://schemas.microsoft.com/office/drawing/2014/main" id="{5EEB630C-42D8-43DA-845F-D9B678D25296}"/>
            </a:ext>
          </a:extLst>
        </xdr:cNvPr>
        <xdr:cNvSpPr txBox="1"/>
      </xdr:nvSpPr>
      <xdr:spPr>
        <a:xfrm>
          <a:off x="342900" y="6972300"/>
          <a:ext cx="6781800" cy="5181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Apesar</a:t>
          </a:r>
          <a:r>
            <a:rPr lang="pt-BR" sz="1100" baseline="0"/>
            <a:t> da vasta quantidade de profissões na área de computação, percebe-se que há pouca variedade no salário anual das pessoas. Entretanto, profissões como Software Engineer e DevOps são as que mais pagam em média.</a:t>
          </a:r>
        </a:p>
        <a:p>
          <a:endParaRPr lang="pt-BR"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601980</xdr:colOff>
      <xdr:row>0</xdr:row>
      <xdr:rowOff>53340</xdr:rowOff>
    </xdr:from>
    <xdr:to>
      <xdr:col>12</xdr:col>
      <xdr:colOff>525780</xdr:colOff>
      <xdr:row>2</xdr:row>
      <xdr:rowOff>60960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id="{D1E66AD6-8D50-4F6D-B0D5-B93AB449A0D7}"/>
            </a:ext>
          </a:extLst>
        </xdr:cNvPr>
        <xdr:cNvSpPr/>
      </xdr:nvSpPr>
      <xdr:spPr>
        <a:xfrm>
          <a:off x="6697980" y="53340"/>
          <a:ext cx="1143000" cy="373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0</xdr:colOff>
      <xdr:row>1</xdr:row>
      <xdr:rowOff>0</xdr:rowOff>
    </xdr:from>
    <xdr:to>
      <xdr:col>10</xdr:col>
      <xdr:colOff>7620</xdr:colOff>
      <xdr:row>4</xdr:row>
      <xdr:rowOff>7620</xdr:rowOff>
    </xdr:to>
    <xdr:sp macro="" textlink="">
      <xdr:nvSpPr>
        <xdr:cNvPr id="3" name="CaixaDeTexto 2">
          <a:extLst>
            <a:ext uri="{FF2B5EF4-FFF2-40B4-BE49-F238E27FC236}">
              <a16:creationId xmlns:a16="http://schemas.microsoft.com/office/drawing/2014/main" id="{9A0CA17D-AEA3-41F8-B811-60D17BBD8106}"/>
            </a:ext>
          </a:extLst>
        </xdr:cNvPr>
        <xdr:cNvSpPr txBox="1"/>
      </xdr:nvSpPr>
      <xdr:spPr>
        <a:xfrm>
          <a:off x="0" y="182880"/>
          <a:ext cx="7269480" cy="5562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mn-lt"/>
              <a:ea typeface="+mn-ea"/>
              <a:cs typeface="+mn-cs"/>
            </a:rPr>
            <a:t>Como estamos lidando com duas variáveis</a:t>
          </a:r>
          <a:r>
            <a:rPr lang="pt-BR" sz="1100" baseline="0">
              <a:solidFill>
                <a:schemeClr val="dk1"/>
              </a:solidFill>
              <a:effectLst/>
              <a:latin typeface="+mn-lt"/>
              <a:ea typeface="+mn-ea"/>
              <a:cs typeface="+mn-cs"/>
            </a:rPr>
            <a:t> quantitativas, consideremos apenas os dados que tiver a idade de experiência e salário completos, a fim de realizar um gráfico de dispersão com os pontos (X, Y) sendo a idade de experiência e o salário, respectivamente. </a:t>
          </a:r>
          <a:endParaRPr lang="pt-BR">
            <a:effectLst/>
          </a:endParaRPr>
        </a:p>
      </xdr:txBody>
    </xdr:sp>
    <xdr:clientData/>
  </xdr:twoCellAnchor>
  <xdr:twoCellAnchor>
    <xdr:from>
      <xdr:col>1</xdr:col>
      <xdr:colOff>38100</xdr:colOff>
      <xdr:row>19</xdr:row>
      <xdr:rowOff>11430</xdr:rowOff>
    </xdr:from>
    <xdr:to>
      <xdr:col>13</xdr:col>
      <xdr:colOff>304800</xdr:colOff>
      <xdr:row>36</xdr:row>
      <xdr:rowOff>121920</xdr:rowOff>
    </xdr:to>
    <xdr:graphicFrame macro="">
      <xdr:nvGraphicFramePr>
        <xdr:cNvPr id="4" name="Gráfico 3">
          <a:extLst>
            <a:ext uri="{FF2B5EF4-FFF2-40B4-BE49-F238E27FC236}">
              <a16:creationId xmlns:a16="http://schemas.microsoft.com/office/drawing/2014/main" id="{E8653022-0004-46C4-8A3E-ED3B48181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38</xdr:row>
      <xdr:rowOff>0</xdr:rowOff>
    </xdr:from>
    <xdr:to>
      <xdr:col>10</xdr:col>
      <xdr:colOff>373380</xdr:colOff>
      <xdr:row>44</xdr:row>
      <xdr:rowOff>99060</xdr:rowOff>
    </xdr:to>
    <xdr:sp macro="" textlink="">
      <xdr:nvSpPr>
        <xdr:cNvPr id="5" name="CaixaDeTexto 4">
          <a:extLst>
            <a:ext uri="{FF2B5EF4-FFF2-40B4-BE49-F238E27FC236}">
              <a16:creationId xmlns:a16="http://schemas.microsoft.com/office/drawing/2014/main" id="{29E5CA69-7826-41C5-B965-0EC0D5B69D5D}"/>
            </a:ext>
          </a:extLst>
        </xdr:cNvPr>
        <xdr:cNvSpPr txBox="1"/>
      </xdr:nvSpPr>
      <xdr:spPr>
        <a:xfrm>
          <a:off x="3368040" y="6949440"/>
          <a:ext cx="4267200" cy="11963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Isso indica</a:t>
          </a:r>
          <a:r>
            <a:rPr lang="pt-BR" sz="1100" baseline="0"/>
            <a:t> que, uma vez que a fórmula correl do excel varia entre -1 e 1 (sendo -1 indicativo de variáveis inversamente proporcionais, 1 indicativo de variáveis diretamente proporcionais e 0 nulo), os anos de experiência influenciam muito no começo da carreira, mas depois de certos anos de experiência o salário não aumenta na mesma proporção na maioria dos casos.</a:t>
          </a:r>
        </a:p>
        <a:p>
          <a:endParaRPr lang="pt-BR" sz="1100" baseline="0"/>
        </a:p>
        <a:p>
          <a:r>
            <a:rPr lang="pt-BR" sz="1100" baseline="0"/>
            <a:t> </a:t>
          </a:r>
          <a:endParaRPr lang="pt-BR"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xdr:row>
      <xdr:rowOff>7620</xdr:rowOff>
    </xdr:from>
    <xdr:to>
      <xdr:col>10</xdr:col>
      <xdr:colOff>0</xdr:colOff>
      <xdr:row>4</xdr:row>
      <xdr:rowOff>38100</xdr:rowOff>
    </xdr:to>
    <xdr:sp macro="" textlink="">
      <xdr:nvSpPr>
        <xdr:cNvPr id="3" name="CaixaDeTexto 2">
          <a:extLst>
            <a:ext uri="{FF2B5EF4-FFF2-40B4-BE49-F238E27FC236}">
              <a16:creationId xmlns:a16="http://schemas.microsoft.com/office/drawing/2014/main" id="{7C155DC7-6BDA-455C-9CB9-1E053C78E4A4}"/>
            </a:ext>
          </a:extLst>
        </xdr:cNvPr>
        <xdr:cNvSpPr txBox="1"/>
      </xdr:nvSpPr>
      <xdr:spPr>
        <a:xfrm>
          <a:off x="0" y="190500"/>
          <a:ext cx="7353300" cy="57912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estamos lidando com uma variável qualitativa</a:t>
          </a:r>
          <a:r>
            <a:rPr lang="pt-BR" sz="1100" baseline="0"/>
            <a:t> e uma quantitativa, consideremos apenas os dados que tiver gênero e salário completos, a fim de fazer um cálculo mais preciso.</a:t>
          </a:r>
          <a:endParaRPr lang="pt-BR" sz="1100"/>
        </a:p>
      </xdr:txBody>
    </xdr:sp>
    <xdr:clientData/>
  </xdr:twoCellAnchor>
  <xdr:twoCellAnchor>
    <xdr:from>
      <xdr:col>10</xdr:col>
      <xdr:colOff>0</xdr:colOff>
      <xdr:row>0</xdr:row>
      <xdr:rowOff>60960</xdr:rowOff>
    </xdr:from>
    <xdr:to>
      <xdr:col>11</xdr:col>
      <xdr:colOff>533400</xdr:colOff>
      <xdr:row>2</xdr:row>
      <xdr:rowOff>68580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F59EBB1D-8D50-4B66-B569-A222B56C79BB}"/>
            </a:ext>
          </a:extLst>
        </xdr:cNvPr>
        <xdr:cNvSpPr/>
      </xdr:nvSpPr>
      <xdr:spPr>
        <a:xfrm>
          <a:off x="7940040" y="60960"/>
          <a:ext cx="1143000" cy="373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152400</xdr:colOff>
      <xdr:row>14</xdr:row>
      <xdr:rowOff>137160</xdr:rowOff>
    </xdr:from>
    <xdr:to>
      <xdr:col>9</xdr:col>
      <xdr:colOff>723900</xdr:colOff>
      <xdr:row>33</xdr:row>
      <xdr:rowOff>114300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1A5348B9-6930-4C18-BA5C-457CDD7800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0" y="2697480"/>
              <a:ext cx="6964680" cy="345186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274320</xdr:colOff>
      <xdr:row>34</xdr:row>
      <xdr:rowOff>68580</xdr:rowOff>
    </xdr:from>
    <xdr:to>
      <xdr:col>9</xdr:col>
      <xdr:colOff>662940</xdr:colOff>
      <xdr:row>39</xdr:row>
      <xdr:rowOff>83820</xdr:rowOff>
    </xdr:to>
    <xdr:sp macro="" textlink="">
      <xdr:nvSpPr>
        <xdr:cNvPr id="7" name="CaixaDeTexto 6">
          <a:extLst>
            <a:ext uri="{FF2B5EF4-FFF2-40B4-BE49-F238E27FC236}">
              <a16:creationId xmlns:a16="http://schemas.microsoft.com/office/drawing/2014/main" id="{5D4EC428-F4A3-4680-910B-3DEAC26C559D}"/>
            </a:ext>
          </a:extLst>
        </xdr:cNvPr>
        <xdr:cNvSpPr txBox="1"/>
      </xdr:nvSpPr>
      <xdr:spPr>
        <a:xfrm>
          <a:off x="274320" y="6286500"/>
          <a:ext cx="6781800" cy="9296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aseline="0"/>
            <a:t>A correlação entre essas variáveis era bastante previsível. Ao contrário da quantidade de anos de esperiência, o nível profissional classifica as pessoas de forma correta ao análisar o salário: pessoas com nível alto no seu trabalho tende a resceber mais do que pessoas que ainda são junior, independentemente da idade da pessoa. Além disso, de todos as cinco categorias, pessoas com nível Head são as que mais recebem salário.</a:t>
          </a: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0</xdr:row>
      <xdr:rowOff>110490</xdr:rowOff>
    </xdr:from>
    <xdr:to>
      <xdr:col>13</xdr:col>
      <xdr:colOff>45720</xdr:colOff>
      <xdr:row>16</xdr:row>
      <xdr:rowOff>160020</xdr:rowOff>
    </xdr:to>
    <xdr:graphicFrame macro="">
      <xdr:nvGraphicFramePr>
        <xdr:cNvPr id="2" name="Gráfico 1">
          <a:extLst>
            <a:ext uri="{FF2B5EF4-FFF2-40B4-BE49-F238E27FC236}">
              <a16:creationId xmlns:a16="http://schemas.microsoft.com/office/drawing/2014/main" id="{A5D07B4C-4745-42A6-9117-5B83C5BAF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182880</xdr:colOff>
      <xdr:row>0</xdr:row>
      <xdr:rowOff>91440</xdr:rowOff>
    </xdr:from>
    <xdr:to>
      <xdr:col>14</xdr:col>
      <xdr:colOff>472440</xdr:colOff>
      <xdr:row>2</xdr:row>
      <xdr:rowOff>30480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BC06BCE7-D760-425E-A92A-A1CCFB31124A}"/>
            </a:ext>
          </a:extLst>
        </xdr:cNvPr>
        <xdr:cNvSpPr/>
      </xdr:nvSpPr>
      <xdr:spPr>
        <a:xfrm>
          <a:off x="8732520" y="9144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3</xdr:col>
      <xdr:colOff>160020</xdr:colOff>
      <xdr:row>17</xdr:row>
      <xdr:rowOff>167640</xdr:rowOff>
    </xdr:from>
    <xdr:to>
      <xdr:col>13</xdr:col>
      <xdr:colOff>45720</xdr:colOff>
      <xdr:row>21</xdr:row>
      <xdr:rowOff>137160</xdr:rowOff>
    </xdr:to>
    <xdr:sp macro="" textlink="">
      <xdr:nvSpPr>
        <xdr:cNvPr id="4" name="CaixaDeTexto 3">
          <a:extLst>
            <a:ext uri="{FF2B5EF4-FFF2-40B4-BE49-F238E27FC236}">
              <a16:creationId xmlns:a16="http://schemas.microsoft.com/office/drawing/2014/main" id="{B061326E-A237-4E6D-ACD2-5539CF10EF50}"/>
            </a:ext>
          </a:extLst>
        </xdr:cNvPr>
        <xdr:cNvSpPr txBox="1"/>
      </xdr:nvSpPr>
      <xdr:spPr>
        <a:xfrm>
          <a:off x="2369820" y="3276600"/>
          <a:ext cx="6225540" cy="70104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Ao análisar as tabelas e o histograma, percebe-se que a maior parte dos entrevistados da União Europeia possuem</a:t>
          </a:r>
          <a:r>
            <a:rPr lang="pt-BR" sz="1100" baseline="0"/>
            <a:t> por volta de 32 anos, tendo poucas pessoas com mais de 40 anos (10%).</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468630</xdr:colOff>
      <xdr:row>0</xdr:row>
      <xdr:rowOff>179070</xdr:rowOff>
    </xdr:from>
    <xdr:to>
      <xdr:col>13</xdr:col>
      <xdr:colOff>163830</xdr:colOff>
      <xdr:row>16</xdr:row>
      <xdr:rowOff>38100</xdr:rowOff>
    </xdr:to>
    <xdr:graphicFrame macro="">
      <xdr:nvGraphicFramePr>
        <xdr:cNvPr id="3" name="Gráfico 2">
          <a:extLst>
            <a:ext uri="{FF2B5EF4-FFF2-40B4-BE49-F238E27FC236}">
              <a16:creationId xmlns:a16="http://schemas.microsoft.com/office/drawing/2014/main" id="{BE95281F-5ACA-4597-81FE-08EF36B3E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434340</xdr:colOff>
      <xdr:row>0</xdr:row>
      <xdr:rowOff>152400</xdr:rowOff>
    </xdr:from>
    <xdr:to>
      <xdr:col>15</xdr:col>
      <xdr:colOff>114300</xdr:colOff>
      <xdr:row>2</xdr:row>
      <xdr:rowOff>91440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7BAC707C-EC85-4069-A3AD-A1432F3BED14}"/>
            </a:ext>
          </a:extLst>
        </xdr:cNvPr>
        <xdr:cNvSpPr/>
      </xdr:nvSpPr>
      <xdr:spPr>
        <a:xfrm>
          <a:off x="9319260" y="15240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533400</xdr:colOff>
      <xdr:row>16</xdr:row>
      <xdr:rowOff>152400</xdr:rowOff>
    </xdr:from>
    <xdr:to>
      <xdr:col>9</xdr:col>
      <xdr:colOff>312420</xdr:colOff>
      <xdr:row>20</xdr:row>
      <xdr:rowOff>53340</xdr:rowOff>
    </xdr:to>
    <xdr:sp macro="" textlink="">
      <xdr:nvSpPr>
        <xdr:cNvPr id="5" name="CaixaDeTexto 4">
          <a:extLst>
            <a:ext uri="{FF2B5EF4-FFF2-40B4-BE49-F238E27FC236}">
              <a16:creationId xmlns:a16="http://schemas.microsoft.com/office/drawing/2014/main" id="{C37BD48B-6E18-449B-AE87-3A335C67047C}"/>
            </a:ext>
          </a:extLst>
        </xdr:cNvPr>
        <xdr:cNvSpPr txBox="1"/>
      </xdr:nvSpPr>
      <xdr:spPr>
        <a:xfrm>
          <a:off x="533400" y="3078480"/>
          <a:ext cx="6225540" cy="6324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É discrepante a diferença de</a:t>
          </a:r>
          <a:r>
            <a:rPr lang="pt-BR" sz="1100" baseline="0"/>
            <a:t> gênero na área de tecnologia, tendo apenas 15% de mulheres nos cargos de TI.</a:t>
          </a: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xdr:colOff>
      <xdr:row>0</xdr:row>
      <xdr:rowOff>3810</xdr:rowOff>
    </xdr:from>
    <xdr:to>
      <xdr:col>16</xdr:col>
      <xdr:colOff>152400</xdr:colOff>
      <xdr:row>18</xdr:row>
      <xdr:rowOff>22860</xdr:rowOff>
    </xdr:to>
    <xdr:graphicFrame macro="">
      <xdr:nvGraphicFramePr>
        <xdr:cNvPr id="2" name="Gráfico 1">
          <a:extLst>
            <a:ext uri="{FF2B5EF4-FFF2-40B4-BE49-F238E27FC236}">
              <a16:creationId xmlns:a16="http://schemas.microsoft.com/office/drawing/2014/main" id="{844243D9-8A4B-4719-8B08-813771A7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243840</xdr:colOff>
      <xdr:row>0</xdr:row>
      <xdr:rowOff>45720</xdr:rowOff>
    </xdr:from>
    <xdr:to>
      <xdr:col>17</xdr:col>
      <xdr:colOff>533400</xdr:colOff>
      <xdr:row>1</xdr:row>
      <xdr:rowOff>167640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69C4D7E0-D375-4660-9FC6-789FC2AE79CE}"/>
            </a:ext>
          </a:extLst>
        </xdr:cNvPr>
        <xdr:cNvSpPr/>
      </xdr:nvSpPr>
      <xdr:spPr>
        <a:xfrm>
          <a:off x="11475720" y="4572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594360</xdr:colOff>
      <xdr:row>18</xdr:row>
      <xdr:rowOff>68580</xdr:rowOff>
    </xdr:from>
    <xdr:to>
      <xdr:col>8</xdr:col>
      <xdr:colOff>464820</xdr:colOff>
      <xdr:row>21</xdr:row>
      <xdr:rowOff>152400</xdr:rowOff>
    </xdr:to>
    <xdr:sp macro="" textlink="">
      <xdr:nvSpPr>
        <xdr:cNvPr id="4" name="CaixaDeTexto 3">
          <a:extLst>
            <a:ext uri="{FF2B5EF4-FFF2-40B4-BE49-F238E27FC236}">
              <a16:creationId xmlns:a16="http://schemas.microsoft.com/office/drawing/2014/main" id="{A5A055E2-848A-4B6C-9E33-E85A2E01153D}"/>
            </a:ext>
          </a:extLst>
        </xdr:cNvPr>
        <xdr:cNvSpPr txBox="1"/>
      </xdr:nvSpPr>
      <xdr:spPr>
        <a:xfrm>
          <a:off x="594360" y="3352800"/>
          <a:ext cx="6225540" cy="6324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Não há contexto para saber</a:t>
          </a:r>
          <a:r>
            <a:rPr lang="pt-BR" sz="1100" baseline="0"/>
            <a:t> se o foco da pesquisa foi nas cidades da Alemanha, mas as 10 cidades com mais entrevistados são da Alemanha, sendo Berlim a cidade com mais pessoas (54%).</a:t>
          </a:r>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xdr:colOff>
      <xdr:row>0</xdr:row>
      <xdr:rowOff>19050</xdr:rowOff>
    </xdr:from>
    <xdr:to>
      <xdr:col>19</xdr:col>
      <xdr:colOff>91440</xdr:colOff>
      <xdr:row>15</xdr:row>
      <xdr:rowOff>19050</xdr:rowOff>
    </xdr:to>
    <xdr:graphicFrame macro="">
      <xdr:nvGraphicFramePr>
        <xdr:cNvPr id="4" name="Gráfico 3">
          <a:extLst>
            <a:ext uri="{FF2B5EF4-FFF2-40B4-BE49-F238E27FC236}">
              <a16:creationId xmlns:a16="http://schemas.microsoft.com/office/drawing/2014/main" id="{21314823-1CDB-4BE2-8AEA-9014F7631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594360</xdr:colOff>
      <xdr:row>0</xdr:row>
      <xdr:rowOff>45720</xdr:rowOff>
    </xdr:from>
    <xdr:to>
      <xdr:col>19</xdr:col>
      <xdr:colOff>274320</xdr:colOff>
      <xdr:row>1</xdr:row>
      <xdr:rowOff>167640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EB73149D-88CF-4D40-BD20-E2A037015561}"/>
            </a:ext>
          </a:extLst>
        </xdr:cNvPr>
        <xdr:cNvSpPr/>
      </xdr:nvSpPr>
      <xdr:spPr>
        <a:xfrm>
          <a:off x="12550140" y="4572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3</xdr:col>
      <xdr:colOff>548640</xdr:colOff>
      <xdr:row>19</xdr:row>
      <xdr:rowOff>0</xdr:rowOff>
    </xdr:from>
    <xdr:to>
      <xdr:col>12</xdr:col>
      <xdr:colOff>91440</xdr:colOff>
      <xdr:row>22</xdr:row>
      <xdr:rowOff>83820</xdr:rowOff>
    </xdr:to>
    <xdr:sp macro="" textlink="">
      <xdr:nvSpPr>
        <xdr:cNvPr id="5" name="CaixaDeTexto 4">
          <a:extLst>
            <a:ext uri="{FF2B5EF4-FFF2-40B4-BE49-F238E27FC236}">
              <a16:creationId xmlns:a16="http://schemas.microsoft.com/office/drawing/2014/main" id="{A5720CB3-1B9C-4F43-B7A8-F0B925731049}"/>
            </a:ext>
          </a:extLst>
        </xdr:cNvPr>
        <xdr:cNvSpPr txBox="1"/>
      </xdr:nvSpPr>
      <xdr:spPr>
        <a:xfrm>
          <a:off x="3512820" y="3474720"/>
          <a:ext cx="6225540" cy="6324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As principais</a:t>
          </a:r>
          <a:r>
            <a:rPr lang="pt-BR" sz="1100" baseline="0"/>
            <a:t> posições profissionais foram engenheiro de software, </a:t>
          </a:r>
          <a:r>
            <a:rPr lang="pt-BR" sz="1100" b="0" i="0">
              <a:solidFill>
                <a:schemeClr val="dk1"/>
              </a:solidFill>
              <a:effectLst/>
              <a:latin typeface="+mn-lt"/>
              <a:ea typeface="+mn-ea"/>
              <a:cs typeface="+mn-cs"/>
            </a:rPr>
            <a:t>engenheiro de back-end e Data Scientist.</a:t>
          </a:r>
          <a:r>
            <a:rPr lang="pt-BR" sz="1100" b="0" i="0" baseline="0">
              <a:solidFill>
                <a:schemeClr val="dk1"/>
              </a:solidFill>
              <a:effectLst/>
              <a:latin typeface="+mn-lt"/>
              <a:ea typeface="+mn-ea"/>
              <a:cs typeface="+mn-cs"/>
            </a:rPr>
            <a:t> Mas percebe-se que há uma boa distribuição entre as várias posições existentes, havendo uma grande quantidade de posições.</a:t>
          </a:r>
          <a:endParaRPr lang="pt-B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289560</xdr:colOff>
      <xdr:row>2</xdr:row>
      <xdr:rowOff>167640</xdr:rowOff>
    </xdr:to>
    <xdr:sp macro="" textlink="">
      <xdr:nvSpPr>
        <xdr:cNvPr id="2" name="CaixaDeTexto 1">
          <a:extLst>
            <a:ext uri="{FF2B5EF4-FFF2-40B4-BE49-F238E27FC236}">
              <a16:creationId xmlns:a16="http://schemas.microsoft.com/office/drawing/2014/main" id="{CB4F9399-457D-487C-A8AE-B4D0C7F8B991}"/>
            </a:ext>
          </a:extLst>
        </xdr:cNvPr>
        <xdr:cNvSpPr txBox="1"/>
      </xdr:nvSpPr>
      <xdr:spPr>
        <a:xfrm>
          <a:off x="0" y="0"/>
          <a:ext cx="3916680" cy="53340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Primeiramente, arrumando alguns dados</a:t>
          </a:r>
          <a:r>
            <a:rPr lang="pt-BR" sz="1100" baseline="0"/>
            <a:t> em formato texto para o formato número, temos:</a:t>
          </a:r>
          <a:endParaRPr lang="pt-BR" sz="1100"/>
        </a:p>
      </xdr:txBody>
    </xdr:sp>
    <xdr:clientData/>
  </xdr:twoCellAnchor>
  <xdr:twoCellAnchor>
    <xdr:from>
      <xdr:col>5</xdr:col>
      <xdr:colOff>289560</xdr:colOff>
      <xdr:row>0</xdr:row>
      <xdr:rowOff>0</xdr:rowOff>
    </xdr:from>
    <xdr:to>
      <xdr:col>14</xdr:col>
      <xdr:colOff>381000</xdr:colOff>
      <xdr:row>16</xdr:row>
      <xdr:rowOff>160020</xdr:rowOff>
    </xdr:to>
    <xdr:graphicFrame macro="">
      <xdr:nvGraphicFramePr>
        <xdr:cNvPr id="3" name="Gráfico 2">
          <a:extLst>
            <a:ext uri="{FF2B5EF4-FFF2-40B4-BE49-F238E27FC236}">
              <a16:creationId xmlns:a16="http://schemas.microsoft.com/office/drawing/2014/main" id="{9B39F04F-B5E4-47A4-9CBC-699174293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26670</xdr:rowOff>
    </xdr:from>
    <xdr:to>
      <xdr:col>4</xdr:col>
      <xdr:colOff>655320</xdr:colOff>
      <xdr:row>40</xdr:row>
      <xdr:rowOff>114300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7D527B9-BC03-4A19-81C4-99171EC547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265170"/>
              <a:ext cx="3474720" cy="429387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4</xdr:col>
      <xdr:colOff>678180</xdr:colOff>
      <xdr:row>17</xdr:row>
      <xdr:rowOff>60960</xdr:rowOff>
    </xdr:from>
    <xdr:to>
      <xdr:col>9</xdr:col>
      <xdr:colOff>190500</xdr:colOff>
      <xdr:row>21</xdr:row>
      <xdr:rowOff>114300</xdr:rowOff>
    </xdr:to>
    <xdr:sp macro="" textlink="">
      <xdr:nvSpPr>
        <xdr:cNvPr id="5" name="CaixaDeTexto 4">
          <a:extLst>
            <a:ext uri="{FF2B5EF4-FFF2-40B4-BE49-F238E27FC236}">
              <a16:creationId xmlns:a16="http://schemas.microsoft.com/office/drawing/2014/main" id="{8024E68F-7B50-43E1-89CF-1B78D4A5361E}"/>
            </a:ext>
          </a:extLst>
        </xdr:cNvPr>
        <xdr:cNvSpPr txBox="1"/>
      </xdr:nvSpPr>
      <xdr:spPr>
        <a:xfrm>
          <a:off x="3497580" y="3169920"/>
          <a:ext cx="3436620" cy="78486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Percebe-se que há um dado muito fora da realidade,</a:t>
          </a:r>
          <a:r>
            <a:rPr lang="pt-BR" sz="1100" baseline="0"/>
            <a:t> no qual o empregado diz ter 383 anos de esperiência. Portanto, refazendo o box plot retirando esse valor, teremos:</a:t>
          </a:r>
        </a:p>
        <a:p>
          <a:endParaRPr lang="pt-BR" sz="1100"/>
        </a:p>
      </xdr:txBody>
    </xdr:sp>
    <xdr:clientData/>
  </xdr:twoCellAnchor>
  <xdr:twoCellAnchor>
    <xdr:from>
      <xdr:col>9</xdr:col>
      <xdr:colOff>220980</xdr:colOff>
      <xdr:row>17</xdr:row>
      <xdr:rowOff>57150</xdr:rowOff>
    </xdr:from>
    <xdr:to>
      <xdr:col>14</xdr:col>
      <xdr:colOff>457200</xdr:colOff>
      <xdr:row>40</xdr:row>
      <xdr:rowOff>53340</xdr:rowOff>
    </xdr:to>
    <mc:AlternateContent xmlns:mc="http://schemas.openxmlformats.org/markup-compatibility/2006">
      <mc:Choice xmlns:cx1="http://schemas.microsoft.com/office/drawing/2015/9/8/chartex" Requires="cx1">
        <xdr:graphicFrame macro="">
          <xdr:nvGraphicFramePr>
            <xdr:cNvPr id="8" name="Gráfico 7">
              <a:extLst>
                <a:ext uri="{FF2B5EF4-FFF2-40B4-BE49-F238E27FC236}">
                  <a16:creationId xmlns:a16="http://schemas.microsoft.com/office/drawing/2014/main" id="{BC91D166-9C56-4DA1-8D6D-82ECD8D4E7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3220" y="3295650"/>
              <a:ext cx="3093720" cy="420243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16</xdr:col>
      <xdr:colOff>106680</xdr:colOff>
      <xdr:row>0</xdr:row>
      <xdr:rowOff>106680</xdr:rowOff>
    </xdr:from>
    <xdr:to>
      <xdr:col>17</xdr:col>
      <xdr:colOff>396240</xdr:colOff>
      <xdr:row>2</xdr:row>
      <xdr:rowOff>45720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3E464BD7-05A0-45F6-A540-7239406FD537}"/>
            </a:ext>
          </a:extLst>
        </xdr:cNvPr>
        <xdr:cNvSpPr/>
      </xdr:nvSpPr>
      <xdr:spPr>
        <a:xfrm>
          <a:off x="11590020" y="10668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2</xdr:col>
      <xdr:colOff>601980</xdr:colOff>
      <xdr:row>40</xdr:row>
      <xdr:rowOff>106680</xdr:rowOff>
    </xdr:from>
    <xdr:to>
      <xdr:col>12</xdr:col>
      <xdr:colOff>182880</xdr:colOff>
      <xdr:row>44</xdr:row>
      <xdr:rowOff>160020</xdr:rowOff>
    </xdr:to>
    <xdr:sp macro="" textlink="">
      <xdr:nvSpPr>
        <xdr:cNvPr id="9" name="CaixaDeTexto 8">
          <a:extLst>
            <a:ext uri="{FF2B5EF4-FFF2-40B4-BE49-F238E27FC236}">
              <a16:creationId xmlns:a16="http://schemas.microsoft.com/office/drawing/2014/main" id="{AC86B5D8-E6D2-419E-9C72-FA295971329E}"/>
            </a:ext>
          </a:extLst>
        </xdr:cNvPr>
        <xdr:cNvSpPr txBox="1"/>
      </xdr:nvSpPr>
      <xdr:spPr>
        <a:xfrm>
          <a:off x="2087880" y="7551420"/>
          <a:ext cx="6225540" cy="7848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maior parte dos entrevistados possuem de 5 a 10 anos de experiência</a:t>
          </a:r>
          <a:r>
            <a:rPr lang="pt-BR" sz="1100" baseline="0"/>
            <a:t> e, ao ver o histograma, percebe-se que há uma assimetria pela direita, ou seja, há mais pessoas com poucos anos de experiência do que pessoas com muitos anos de experiências. Dessa forma, os poucos com muitos anos de experiências são considerados </a:t>
          </a:r>
          <a:r>
            <a:rPr lang="pt-BR" sz="1100" b="1" i="0">
              <a:solidFill>
                <a:schemeClr val="dk1"/>
              </a:solidFill>
              <a:effectLst/>
              <a:latin typeface="+mn-lt"/>
              <a:ea typeface="+mn-ea"/>
              <a:cs typeface="+mn-cs"/>
            </a:rPr>
            <a:t>outliers</a:t>
          </a:r>
          <a:r>
            <a:rPr lang="pt-BR" sz="1100" b="0" i="0">
              <a:solidFill>
                <a:schemeClr val="dk1"/>
              </a:solidFill>
              <a:effectLst/>
              <a:latin typeface="+mn-lt"/>
              <a:ea typeface="+mn-ea"/>
              <a:cs typeface="+mn-cs"/>
            </a:rPr>
            <a:t> ao</a:t>
          </a:r>
          <a:r>
            <a:rPr lang="pt-BR" sz="1100" b="0" i="0" baseline="0">
              <a:solidFill>
                <a:schemeClr val="dk1"/>
              </a:solidFill>
              <a:effectLst/>
              <a:latin typeface="+mn-lt"/>
              <a:ea typeface="+mn-ea"/>
              <a:cs typeface="+mn-cs"/>
            </a:rPr>
            <a:t> analisar o box plot.</a:t>
          </a:r>
        </a:p>
        <a:p>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601980</xdr:colOff>
      <xdr:row>2</xdr:row>
      <xdr:rowOff>167640</xdr:rowOff>
    </xdr:to>
    <xdr:sp macro="" textlink="">
      <xdr:nvSpPr>
        <xdr:cNvPr id="2" name="CaixaDeTexto 1">
          <a:extLst>
            <a:ext uri="{FF2B5EF4-FFF2-40B4-BE49-F238E27FC236}">
              <a16:creationId xmlns:a16="http://schemas.microsoft.com/office/drawing/2014/main" id="{6535C87C-44A1-46AE-B0AB-A08E63D7BE1D}"/>
            </a:ext>
          </a:extLst>
        </xdr:cNvPr>
        <xdr:cNvSpPr txBox="1"/>
      </xdr:nvSpPr>
      <xdr:spPr>
        <a:xfrm>
          <a:off x="0" y="0"/>
          <a:ext cx="4549140" cy="53340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Primeiramente, arrumando alguns dados</a:t>
          </a:r>
          <a:r>
            <a:rPr lang="pt-BR" sz="1100" baseline="0"/>
            <a:t> em formato texto para o formato número, temos:</a:t>
          </a:r>
          <a:endParaRPr lang="pt-BR" sz="1100"/>
        </a:p>
      </xdr:txBody>
    </xdr:sp>
    <xdr:clientData/>
  </xdr:twoCellAnchor>
  <xdr:twoCellAnchor>
    <xdr:from>
      <xdr:col>0</xdr:col>
      <xdr:colOff>365760</xdr:colOff>
      <xdr:row>14</xdr:row>
      <xdr:rowOff>87630</xdr:rowOff>
    </xdr:from>
    <xdr:to>
      <xdr:col>5</xdr:col>
      <xdr:colOff>449580</xdr:colOff>
      <xdr:row>29</xdr:row>
      <xdr:rowOff>95250</xdr:rowOff>
    </xdr:to>
    <xdr:graphicFrame macro="">
      <xdr:nvGraphicFramePr>
        <xdr:cNvPr id="3" name="Gráfico 2">
          <a:extLst>
            <a:ext uri="{FF2B5EF4-FFF2-40B4-BE49-F238E27FC236}">
              <a16:creationId xmlns:a16="http://schemas.microsoft.com/office/drawing/2014/main" id="{6D4149A9-951F-45F5-A7CE-C6C954F66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0</xdr:row>
      <xdr:rowOff>3810</xdr:rowOff>
    </xdr:from>
    <xdr:to>
      <xdr:col>10</xdr:col>
      <xdr:colOff>586740</xdr:colOff>
      <xdr:row>29</xdr:row>
      <xdr:rowOff>60960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0C492E62-7DEA-49C2-AC7E-5854229107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43500" y="3810"/>
              <a:ext cx="2979420" cy="536829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12</xdr:col>
      <xdr:colOff>327660</xdr:colOff>
      <xdr:row>0</xdr:row>
      <xdr:rowOff>83820</xdr:rowOff>
    </xdr:from>
    <xdr:to>
      <xdr:col>13</xdr:col>
      <xdr:colOff>457200</xdr:colOff>
      <xdr:row>2</xdr:row>
      <xdr:rowOff>22860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739219CA-6360-41C1-94A9-E25B6E5F1AC0}"/>
            </a:ext>
          </a:extLst>
        </xdr:cNvPr>
        <xdr:cNvSpPr/>
      </xdr:nvSpPr>
      <xdr:spPr>
        <a:xfrm>
          <a:off x="9083040" y="8382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373380</xdr:colOff>
      <xdr:row>29</xdr:row>
      <xdr:rowOff>175260</xdr:rowOff>
    </xdr:from>
    <xdr:to>
      <xdr:col>8</xdr:col>
      <xdr:colOff>281940</xdr:colOff>
      <xdr:row>34</xdr:row>
      <xdr:rowOff>45720</xdr:rowOff>
    </xdr:to>
    <xdr:sp macro="" textlink="">
      <xdr:nvSpPr>
        <xdr:cNvPr id="6" name="CaixaDeTexto 5">
          <a:extLst>
            <a:ext uri="{FF2B5EF4-FFF2-40B4-BE49-F238E27FC236}">
              <a16:creationId xmlns:a16="http://schemas.microsoft.com/office/drawing/2014/main" id="{406FD195-51B7-4DD9-A3C8-8545963543C8}"/>
            </a:ext>
          </a:extLst>
        </xdr:cNvPr>
        <xdr:cNvSpPr txBox="1"/>
      </xdr:nvSpPr>
      <xdr:spPr>
        <a:xfrm>
          <a:off x="373380" y="5486400"/>
          <a:ext cx="6225540" cy="7848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maior parte dos entrevistados possuem de</a:t>
          </a:r>
          <a:r>
            <a:rPr lang="pt-BR" sz="1100" baseline="0"/>
            <a:t> 2 a 3 anos </a:t>
          </a:r>
          <a:r>
            <a:rPr lang="pt-BR" sz="1100"/>
            <a:t>de experiência na Alemanhã</a:t>
          </a:r>
          <a:r>
            <a:rPr lang="pt-BR" sz="1100" baseline="0"/>
            <a:t> e, ao ver o histograma, percebe-se que há uma assimetria pela direita, ou seja, há mais pessoas com poucos anos de experiência do que pessoas com muitos anos de experiências. Dessa forma, os poucos com muitos anos de experiências são considerados </a:t>
          </a:r>
          <a:r>
            <a:rPr lang="pt-BR" sz="1100" b="1" i="0">
              <a:solidFill>
                <a:schemeClr val="dk1"/>
              </a:solidFill>
              <a:effectLst/>
              <a:latin typeface="+mn-lt"/>
              <a:ea typeface="+mn-ea"/>
              <a:cs typeface="+mn-cs"/>
            </a:rPr>
            <a:t>outliers</a:t>
          </a:r>
          <a:r>
            <a:rPr lang="pt-BR" sz="1100" b="0" i="0">
              <a:solidFill>
                <a:schemeClr val="dk1"/>
              </a:solidFill>
              <a:effectLst/>
              <a:latin typeface="+mn-lt"/>
              <a:ea typeface="+mn-ea"/>
              <a:cs typeface="+mn-cs"/>
            </a:rPr>
            <a:t> ao</a:t>
          </a:r>
          <a:r>
            <a:rPr lang="pt-BR" sz="1100" b="0" i="0" baseline="0">
              <a:solidFill>
                <a:schemeClr val="dk1"/>
              </a:solidFill>
              <a:effectLst/>
              <a:latin typeface="+mn-lt"/>
              <a:ea typeface="+mn-ea"/>
              <a:cs typeface="+mn-cs"/>
            </a:rPr>
            <a:t> analisar o box plot.</a:t>
          </a:r>
        </a:p>
        <a:p>
          <a:endParaRPr lang="pt-B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236220</xdr:colOff>
      <xdr:row>1</xdr:row>
      <xdr:rowOff>3810</xdr:rowOff>
    </xdr:from>
    <xdr:to>
      <xdr:col>14</xdr:col>
      <xdr:colOff>144780</xdr:colOff>
      <xdr:row>18</xdr:row>
      <xdr:rowOff>22860</xdr:rowOff>
    </xdr:to>
    <xdr:graphicFrame macro="">
      <xdr:nvGraphicFramePr>
        <xdr:cNvPr id="3" name="Gráfico 2">
          <a:extLst>
            <a:ext uri="{FF2B5EF4-FFF2-40B4-BE49-F238E27FC236}">
              <a16:creationId xmlns:a16="http://schemas.microsoft.com/office/drawing/2014/main" id="{78FBBA19-9C2C-44E2-9972-EF9610100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259080</xdr:colOff>
      <xdr:row>1</xdr:row>
      <xdr:rowOff>76200</xdr:rowOff>
    </xdr:from>
    <xdr:to>
      <xdr:col>15</xdr:col>
      <xdr:colOff>548640</xdr:colOff>
      <xdr:row>3</xdr:row>
      <xdr:rowOff>15240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263646D2-4721-4277-A484-1F156262B652}"/>
            </a:ext>
          </a:extLst>
        </xdr:cNvPr>
        <xdr:cNvSpPr/>
      </xdr:nvSpPr>
      <xdr:spPr>
        <a:xfrm>
          <a:off x="10264140" y="76200"/>
          <a:ext cx="89916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358140</xdr:colOff>
      <xdr:row>18</xdr:row>
      <xdr:rowOff>114300</xdr:rowOff>
    </xdr:from>
    <xdr:to>
      <xdr:col>7</xdr:col>
      <xdr:colOff>563880</xdr:colOff>
      <xdr:row>22</xdr:row>
      <xdr:rowOff>167640</xdr:rowOff>
    </xdr:to>
    <xdr:sp macro="" textlink="">
      <xdr:nvSpPr>
        <xdr:cNvPr id="5" name="CaixaDeTexto 4">
          <a:extLst>
            <a:ext uri="{FF2B5EF4-FFF2-40B4-BE49-F238E27FC236}">
              <a16:creationId xmlns:a16="http://schemas.microsoft.com/office/drawing/2014/main" id="{D5DEB63A-660A-4E3F-BC6C-089FA6EC8F9C}"/>
            </a:ext>
          </a:extLst>
        </xdr:cNvPr>
        <xdr:cNvSpPr txBox="1"/>
      </xdr:nvSpPr>
      <xdr:spPr>
        <a:xfrm>
          <a:off x="358140" y="3406140"/>
          <a:ext cx="6225540" cy="7848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Apesar de poder juntar tudo e analisar</a:t>
          </a:r>
          <a:r>
            <a:rPr lang="pt-BR" sz="1100" baseline="0"/>
            <a:t> apenas as categorias Senior, Middle e Junior, acabei deixando todas as categorias e subcategorias. Apesar disso, percebe-se que a grande parte dos entrevistados já estão em cargos altos ou em transição para ocupar tais cargos. </a:t>
          </a:r>
          <a:endParaRPr lang="pt-BR" sz="1100" b="0" i="0" baseline="0">
            <a:solidFill>
              <a:schemeClr val="dk1"/>
            </a:solidFill>
            <a:effectLst/>
            <a:latin typeface="+mn-lt"/>
            <a:ea typeface="+mn-ea"/>
            <a:cs typeface="+mn-cs"/>
          </a:endParaRPr>
        </a:p>
        <a:p>
          <a:endParaRPr lang="pt-B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72390</xdr:rowOff>
    </xdr:from>
    <xdr:to>
      <xdr:col>14</xdr:col>
      <xdr:colOff>106680</xdr:colOff>
      <xdr:row>42</xdr:row>
      <xdr:rowOff>72390</xdr:rowOff>
    </xdr:to>
    <xdr:graphicFrame macro="">
      <xdr:nvGraphicFramePr>
        <xdr:cNvPr id="2" name="Gráfico 1">
          <a:extLst>
            <a:ext uri="{FF2B5EF4-FFF2-40B4-BE49-F238E27FC236}">
              <a16:creationId xmlns:a16="http://schemas.microsoft.com/office/drawing/2014/main" id="{0FB5029D-4B5F-4FAE-A959-3855CC290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0</xdr:row>
      <xdr:rowOff>0</xdr:rowOff>
    </xdr:from>
    <xdr:to>
      <xdr:col>8</xdr:col>
      <xdr:colOff>579120</xdr:colOff>
      <xdr:row>1</xdr:row>
      <xdr:rowOff>121920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01BE72DE-02C1-4B8D-BB0E-F362F5DB6939}"/>
            </a:ext>
          </a:extLst>
        </xdr:cNvPr>
        <xdr:cNvSpPr/>
      </xdr:nvSpPr>
      <xdr:spPr>
        <a:xfrm>
          <a:off x="7284720" y="0"/>
          <a:ext cx="16002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Variáveis</a:t>
          </a:r>
          <a:endParaRPr lang="pt-BR" sz="1100" b="1"/>
        </a:p>
      </xdr:txBody>
    </xdr:sp>
    <xdr:clientData/>
  </xdr:twoCellAnchor>
  <xdr:twoCellAnchor>
    <xdr:from>
      <xdr:col>0</xdr:col>
      <xdr:colOff>0</xdr:colOff>
      <xdr:row>0</xdr:row>
      <xdr:rowOff>0</xdr:rowOff>
    </xdr:from>
    <xdr:to>
      <xdr:col>6</xdr:col>
      <xdr:colOff>784860</xdr:colOff>
      <xdr:row>3</xdr:row>
      <xdr:rowOff>160020</xdr:rowOff>
    </xdr:to>
    <xdr:sp macro="" textlink="">
      <xdr:nvSpPr>
        <xdr:cNvPr id="4" name="CaixaDeTexto 3">
          <a:extLst>
            <a:ext uri="{FF2B5EF4-FFF2-40B4-BE49-F238E27FC236}">
              <a16:creationId xmlns:a16="http://schemas.microsoft.com/office/drawing/2014/main" id="{5349386E-0FE7-45B7-BB9D-9FF02E411F26}"/>
            </a:ext>
          </a:extLst>
        </xdr:cNvPr>
        <xdr:cNvSpPr txBox="1"/>
      </xdr:nvSpPr>
      <xdr:spPr>
        <a:xfrm>
          <a:off x="0" y="0"/>
          <a:ext cx="6576060" cy="708660"/>
        </a:xfrm>
        <a:prstGeom prst="rect">
          <a:avLst/>
        </a:prstGeom>
        <a:solidFill>
          <a:srgbClr val="99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Sem</a:t>
          </a:r>
          <a:r>
            <a:rPr lang="pt-BR" sz="1100" baseline="0"/>
            <a:t> entender o contexto da pesquisa é complicado saber se era permitido colocar mais de uma linguagem como linguagem principal. Apesar disso, em dados que possuem mais de uma linguagem, foram computados apenas a primeira linguagem escrita.</a:t>
          </a:r>
          <a:endParaRPr lang="pt-BR" sz="1100"/>
        </a:p>
      </xdr:txBody>
    </xdr:sp>
    <xdr:clientData/>
  </xdr:twoCellAnchor>
  <xdr:twoCellAnchor>
    <xdr:from>
      <xdr:col>5</xdr:col>
      <xdr:colOff>533400</xdr:colOff>
      <xdr:row>8</xdr:row>
      <xdr:rowOff>144780</xdr:rowOff>
    </xdr:from>
    <xdr:to>
      <xdr:col>13</xdr:col>
      <xdr:colOff>220980</xdr:colOff>
      <xdr:row>13</xdr:row>
      <xdr:rowOff>15240</xdr:rowOff>
    </xdr:to>
    <xdr:sp macro="" textlink="">
      <xdr:nvSpPr>
        <xdr:cNvPr id="5" name="CaixaDeTexto 4">
          <a:extLst>
            <a:ext uri="{FF2B5EF4-FFF2-40B4-BE49-F238E27FC236}">
              <a16:creationId xmlns:a16="http://schemas.microsoft.com/office/drawing/2014/main" id="{1E291861-D536-4F55-978A-D4D9C5D23FC8}"/>
            </a:ext>
          </a:extLst>
        </xdr:cNvPr>
        <xdr:cNvSpPr txBox="1"/>
      </xdr:nvSpPr>
      <xdr:spPr>
        <a:xfrm>
          <a:off x="5715000" y="1607820"/>
          <a:ext cx="6225540" cy="78486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Python, Java e JavaScript são dominantes</a:t>
          </a:r>
          <a:r>
            <a:rPr lang="pt-BR" sz="1100" baseline="0"/>
            <a:t> no mundo de programação de acordo com os resultados da pesquisa. Isso não significa que as pessoas não utilizem as outras, mas essas normalmente são as principais no dia a dia do programador. </a:t>
          </a:r>
          <a:endParaRPr lang="pt-BR" sz="1100" b="0" i="0" baseline="0">
            <a:solidFill>
              <a:schemeClr val="dk1"/>
            </a:solidFill>
            <a:effectLst/>
            <a:latin typeface="+mn-lt"/>
            <a:ea typeface="+mn-ea"/>
            <a:cs typeface="+mn-cs"/>
          </a:endParaRPr>
        </a:p>
        <a:p>
          <a:endParaRPr lang="pt-B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4A45AB-E995-4852-B553-C8DA3F34465B}" name="Tabela1" displayName="Tabela1" ref="A1:M1254" totalsRowShown="0">
  <autoFilter ref="A1:M1254" xr:uid="{4A4A45AB-E995-4852-B553-C8DA3F34465B}"/>
  <sortState xmlns:xlrd2="http://schemas.microsoft.com/office/spreadsheetml/2017/richdata2" ref="A2:M1254">
    <sortCondition ref="K1:K1254"/>
  </sortState>
  <tableColumns count="13">
    <tableColumn id="1" xr3:uid="{6E7A8C69-2374-4DAC-92B8-93B4A3749C6A}" name="Age"/>
    <tableColumn id="2" xr3:uid="{ADF904BA-DCA2-4B78-A638-7E83A976BC24}" name="Gender"/>
    <tableColumn id="3" xr3:uid="{1FD18A19-1440-4963-9350-6980EBE4102F}" name="City"/>
    <tableColumn id="4" xr3:uid="{8DE52F43-FD22-4348-AC5A-8A68BD02C148}" name="Position "/>
    <tableColumn id="5" xr3:uid="{FD8A9FAB-6C78-49F3-AAC4-BF66EB078FC7}" name="Total years of experience"/>
    <tableColumn id="6" xr3:uid="{1CA16761-73D3-4B0E-812F-2164B30A4236}" name="Years of experience in Germany"/>
    <tableColumn id="7" xr3:uid="{15BE7642-9292-413F-8D63-55F6C6A8996F}" name="Seniority level"/>
    <tableColumn id="8" xr3:uid="{5F6A2B85-3B50-44CE-8FD0-38E3B72418E6}" name="Your main technology / programming language"/>
    <tableColumn id="9" xr3:uid="{9CB0BD9F-33D1-4427-9E18-19868A4963E7}" name="Yearly brutto salary (without bonus and stocks) in EUR"/>
    <tableColumn id="10" xr3:uid="{BDABF5BB-C938-4D48-B371-00E97AAABA1E}" name="Yearly bonus + stocks in EUR"/>
    <tableColumn id="11" xr3:uid="{A75BAE6E-E807-48F3-B166-9A0B6A93B3CD}" name="Number of vacation days"/>
    <tableColumn id="12" xr3:uid="{3FFA3C5F-9017-40FE-9300-5B294C3F6AE1}" name="Main language at work"/>
    <tableColumn id="13" xr3:uid="{39334FAE-F0AE-448C-B419-93F4410D8217}" name="Company siz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43B82E-F789-4B7F-ABE7-47CDC3696F6E}" name="Tabela3" displayName="Tabela3" ref="J1:K1225" totalsRowShown="0" headerRowDxfId="8">
  <autoFilter ref="J1:K1225" xr:uid="{5143B82E-F789-4B7F-ABE7-47CDC3696F6E}"/>
  <sortState xmlns:xlrd2="http://schemas.microsoft.com/office/spreadsheetml/2017/richdata2" ref="J2:K1225">
    <sortCondition ref="J1:J1225"/>
  </sortState>
  <tableColumns count="2">
    <tableColumn id="1" xr3:uid="{4DDD7C76-96BA-4501-9031-FDF67750C67E}" name="Age"/>
    <tableColumn id="2" xr3:uid="{4414E8F3-7A57-4266-9526-0DFE4C84A3A4}" name="Yearly brutto salary (without bonus and stocks) in EUR"/>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6D865B-3A5E-4BB0-B002-4D602E5A40F7}" name="Tabela4" displayName="Tabela4" ref="M1:N1240" totalsRowShown="0">
  <autoFilter ref="M1:N1240" xr:uid="{B96D865B-3A5E-4BB0-B002-4D602E5A40F7}"/>
  <sortState xmlns:xlrd2="http://schemas.microsoft.com/office/spreadsheetml/2017/richdata2" ref="M2:N1240">
    <sortCondition ref="M1:M1240"/>
  </sortState>
  <tableColumns count="2">
    <tableColumn id="1" xr3:uid="{5677642B-C2E6-4D4A-9438-38BF27A91136}" name="Gender"/>
    <tableColumn id="2" xr3:uid="{80984416-6401-4CF1-AC1F-E26F8F9FF1BB}" name="Yearly brutto salary (without bonus and stocks) in EUR"/>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0533F9-5DAA-419B-A14B-0B830C162541}" name="Tabela5" displayName="Tabela5" ref="K1:L1246" totalsRowShown="0">
  <autoFilter ref="K1:L1246" xr:uid="{930533F9-5DAA-419B-A14B-0B830C162541}"/>
  <sortState xmlns:xlrd2="http://schemas.microsoft.com/office/spreadsheetml/2017/richdata2" ref="K2:L1246">
    <sortCondition ref="K1:K1246"/>
  </sortState>
  <tableColumns count="2">
    <tableColumn id="1" xr3:uid="{087B95DD-4835-4DD2-8206-78024A68E23A}" name="Position "/>
    <tableColumn id="2" xr3:uid="{34C15C79-7D3E-4B10-A521-7CF4DDF9E976}" name="Yearly brutto salary (without bonus and stocks) in EUR"/>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9F9AEB3-E783-414D-92DE-68E240E101F6}" name="Tabela6" displayName="Tabela6" ref="P3:T113" totalsRowShown="0" headerRowDxfId="7">
  <autoFilter ref="P3:T113" xr:uid="{79F9AEB3-E783-414D-92DE-68E240E101F6}"/>
  <tableColumns count="5">
    <tableColumn id="1" xr3:uid="{CC6A6C3E-6576-4072-9BEF-92A19AEBE45E}" name="Data Scientist"/>
    <tableColumn id="2" xr3:uid="{42ADFC71-8426-4374-B301-DBB549ED4ECD}" name="Frontend Developer"/>
    <tableColumn id="3" xr3:uid="{8F41B1D5-541E-42B7-9BF1-E6C228C4D1D3}" name="QA Engineer"/>
    <tableColumn id="4" xr3:uid="{DB32A757-9596-499D-ACEA-5D4B99AB2C67}" name="DevOps"/>
    <tableColumn id="5" xr3:uid="{CEF8584F-ACEE-4CC7-8EAC-B0BE0A9DBAC6}" name="Mobile Developer"/>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0084A9-EEF3-4E26-8488-8AE624046F28}" name="Tabela7" displayName="Tabela7" ref="O1:P1235" totalsRowShown="0" headerRowDxfId="6" dataDxfId="4" headerRowBorderDxfId="5" tableBorderDxfId="3">
  <autoFilter ref="O1:P1235" xr:uid="{B50084A9-EEF3-4E26-8488-8AE624046F28}"/>
  <sortState xmlns:xlrd2="http://schemas.microsoft.com/office/spreadsheetml/2017/richdata2" ref="O2:P1235">
    <sortCondition ref="O1:O1235"/>
  </sortState>
  <tableColumns count="2">
    <tableColumn id="1" xr3:uid="{B91B83DC-F909-4542-8D71-7F4F3698C5F1}" name="Total years of experience" dataDxfId="2"/>
    <tableColumn id="2" xr3:uid="{02E9DB6A-27FD-4CBD-99D4-BDC7897EA043}" name="Yearly brutto salary" dataDxfId="1"/>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EF3FD3-CCFD-4262-A342-295813B70D6E}" name="Tabela8" displayName="Tabela8" ref="N1:O1242" totalsRowShown="0">
  <autoFilter ref="N1:O1242" xr:uid="{1CEF3FD3-CCFD-4262-A342-295813B70D6E}"/>
  <sortState xmlns:xlrd2="http://schemas.microsoft.com/office/spreadsheetml/2017/richdata2" ref="N2:O1242">
    <sortCondition ref="N1:N1242"/>
  </sortState>
  <tableColumns count="2">
    <tableColumn id="1" xr3:uid="{4EA3328D-EF96-4532-92B1-1AA5BEB888AF}" name="Seniority level"/>
    <tableColumn id="2" xr3:uid="{F7295E34-9665-463C-B1DF-0980CC5D97CE}" name="Yearly brutto salary"/>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500573-AE9C-4AEA-9F24-590D3A996D2C}" name="Tabela9" displayName="Tabela9" ref="Q2:U567" totalsRowShown="0" headerRowDxfId="0">
  <autoFilter ref="Q2:U567" xr:uid="{FE500573-AE9C-4AEA-9F24-590D3A996D2C}"/>
  <tableColumns count="5">
    <tableColumn id="1" xr3:uid="{AB6221C8-18AE-4365-A8B3-3DD452B67998}" name="Senior"/>
    <tableColumn id="2" xr3:uid="{6CD9251F-4679-480F-9CE7-4C9F87E5000F}" name="Middle"/>
    <tableColumn id="3" xr3:uid="{B3DBDF47-2455-4C76-B3D7-764023CE00D8}" name="Junior"/>
    <tableColumn id="4" xr3:uid="{D455A885-C681-4BB0-8D88-ED048520A2C3}" name="Lead"/>
    <tableColumn id="5" xr3:uid="{C3081A73-11C5-44C3-8C87-BAF2B4619EFB}" name="Head"/>
  </tableColumns>
  <tableStyleInfo name="TableStyleLight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54"/>
  <sheetViews>
    <sheetView zoomScale="99" zoomScaleNormal="99" workbookViewId="0">
      <selection activeCell="F27" sqref="F27"/>
    </sheetView>
  </sheetViews>
  <sheetFormatPr defaultRowHeight="14.4" x14ac:dyDescent="0.3"/>
  <cols>
    <col min="1" max="1" width="5.88671875" customWidth="1"/>
    <col min="2" max="2" width="8.77734375" customWidth="1"/>
    <col min="3" max="3" width="19.5546875" bestFit="1" customWidth="1"/>
    <col min="4" max="4" width="43.5546875" bestFit="1" customWidth="1"/>
    <col min="5" max="6" width="39.21875" bestFit="1" customWidth="1"/>
    <col min="7" max="7" width="33.44140625" bestFit="1" customWidth="1"/>
    <col min="8" max="8" width="48" bestFit="1" customWidth="1"/>
    <col min="9" max="9" width="46.6640625" customWidth="1"/>
    <col min="10" max="10" width="26" customWidth="1"/>
    <col min="11" max="11" width="35.77734375" bestFit="1" customWidth="1"/>
    <col min="12" max="12" width="21.33203125" customWidth="1"/>
    <col min="13" max="13" width="14"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37</v>
      </c>
      <c r="B2" t="s">
        <v>13</v>
      </c>
      <c r="C2" t="s">
        <v>227</v>
      </c>
      <c r="D2" t="s">
        <v>44</v>
      </c>
      <c r="E2">
        <v>18</v>
      </c>
      <c r="G2" t="s">
        <v>62</v>
      </c>
      <c r="H2" t="s">
        <v>51</v>
      </c>
      <c r="I2">
        <v>156000</v>
      </c>
      <c r="J2">
        <v>0</v>
      </c>
      <c r="K2">
        <v>0</v>
      </c>
      <c r="L2" t="s">
        <v>18</v>
      </c>
      <c r="M2" s="97" t="s">
        <v>552</v>
      </c>
    </row>
    <row r="3" spans="1:13" x14ac:dyDescent="0.3">
      <c r="A3">
        <v>32</v>
      </c>
      <c r="B3" t="s">
        <v>13</v>
      </c>
      <c r="C3" t="s">
        <v>20</v>
      </c>
      <c r="D3" t="s">
        <v>15</v>
      </c>
      <c r="E3">
        <v>10</v>
      </c>
      <c r="F3">
        <v>7</v>
      </c>
      <c r="G3" t="s">
        <v>24</v>
      </c>
      <c r="H3" t="s">
        <v>17</v>
      </c>
      <c r="I3">
        <v>120000</v>
      </c>
      <c r="J3">
        <v>0</v>
      </c>
      <c r="K3">
        <v>0</v>
      </c>
      <c r="L3" t="s">
        <v>261</v>
      </c>
      <c r="M3" t="s">
        <v>30</v>
      </c>
    </row>
    <row r="4" spans="1:13" x14ac:dyDescent="0.3">
      <c r="A4">
        <v>38</v>
      </c>
      <c r="B4" t="s">
        <v>13</v>
      </c>
      <c r="C4" t="s">
        <v>20</v>
      </c>
      <c r="D4" t="s">
        <v>246</v>
      </c>
      <c r="E4">
        <v>20</v>
      </c>
      <c r="F4">
        <v>7</v>
      </c>
      <c r="G4" t="s">
        <v>62</v>
      </c>
      <c r="H4" t="s">
        <v>111</v>
      </c>
      <c r="I4">
        <v>200000</v>
      </c>
      <c r="J4">
        <v>200000</v>
      </c>
      <c r="K4">
        <v>0</v>
      </c>
      <c r="L4" t="s">
        <v>18</v>
      </c>
      <c r="M4" t="s">
        <v>67</v>
      </c>
    </row>
    <row r="5" spans="1:13" x14ac:dyDescent="0.3">
      <c r="A5">
        <v>22</v>
      </c>
      <c r="B5" t="s">
        <v>13</v>
      </c>
      <c r="C5" t="s">
        <v>356</v>
      </c>
      <c r="D5" t="s">
        <v>21</v>
      </c>
      <c r="E5">
        <v>3</v>
      </c>
      <c r="F5">
        <v>0</v>
      </c>
      <c r="G5" t="s">
        <v>28</v>
      </c>
      <c r="H5" t="s">
        <v>31</v>
      </c>
      <c r="I5">
        <v>10001</v>
      </c>
      <c r="J5">
        <v>0</v>
      </c>
      <c r="K5">
        <v>0</v>
      </c>
      <c r="L5" t="s">
        <v>18</v>
      </c>
      <c r="M5" t="s">
        <v>67</v>
      </c>
    </row>
    <row r="6" spans="1:13" x14ac:dyDescent="0.3">
      <c r="A6">
        <v>28</v>
      </c>
      <c r="B6" t="s">
        <v>13</v>
      </c>
      <c r="C6" t="s">
        <v>70</v>
      </c>
      <c r="D6" t="s">
        <v>349</v>
      </c>
      <c r="E6">
        <v>8</v>
      </c>
      <c r="F6">
        <v>1</v>
      </c>
      <c r="G6" t="s">
        <v>24</v>
      </c>
      <c r="H6" t="s">
        <v>64</v>
      </c>
      <c r="I6">
        <v>25000</v>
      </c>
      <c r="J6">
        <v>2000</v>
      </c>
      <c r="K6">
        <v>1</v>
      </c>
      <c r="L6" t="s">
        <v>18</v>
      </c>
      <c r="M6" s="97" t="s">
        <v>552</v>
      </c>
    </row>
    <row r="7" spans="1:13" x14ac:dyDescent="0.3">
      <c r="A7">
        <v>34</v>
      </c>
      <c r="B7" t="s">
        <v>13</v>
      </c>
      <c r="C7" t="s">
        <v>14</v>
      </c>
      <c r="D7" t="s">
        <v>52</v>
      </c>
      <c r="E7">
        <v>5</v>
      </c>
      <c r="F7">
        <v>2</v>
      </c>
      <c r="G7" t="s">
        <v>16</v>
      </c>
      <c r="H7" t="s">
        <v>32</v>
      </c>
      <c r="I7">
        <v>76500</v>
      </c>
      <c r="J7">
        <v>0</v>
      </c>
      <c r="K7">
        <v>3</v>
      </c>
      <c r="L7" t="s">
        <v>18</v>
      </c>
      <c r="M7" t="s">
        <v>30</v>
      </c>
    </row>
    <row r="8" spans="1:13" x14ac:dyDescent="0.3">
      <c r="A8">
        <v>29</v>
      </c>
      <c r="B8" t="s">
        <v>13</v>
      </c>
      <c r="C8" t="s">
        <v>20</v>
      </c>
      <c r="D8" t="s">
        <v>27</v>
      </c>
      <c r="E8">
        <v>11</v>
      </c>
      <c r="F8">
        <v>7</v>
      </c>
      <c r="G8" t="s">
        <v>24</v>
      </c>
      <c r="H8" t="s">
        <v>17</v>
      </c>
      <c r="I8">
        <v>140000</v>
      </c>
      <c r="J8">
        <v>0</v>
      </c>
      <c r="K8">
        <v>5</v>
      </c>
      <c r="L8" t="s">
        <v>18</v>
      </c>
      <c r="M8" t="s">
        <v>67</v>
      </c>
    </row>
    <row r="9" spans="1:13" x14ac:dyDescent="0.3">
      <c r="A9">
        <v>24</v>
      </c>
      <c r="B9" t="s">
        <v>33</v>
      </c>
      <c r="C9" t="s">
        <v>14</v>
      </c>
      <c r="D9" t="s">
        <v>15</v>
      </c>
      <c r="E9">
        <v>0.5</v>
      </c>
      <c r="F9">
        <v>0.5</v>
      </c>
      <c r="G9" t="s">
        <v>402</v>
      </c>
      <c r="H9" t="s">
        <v>50</v>
      </c>
      <c r="I9">
        <v>16320</v>
      </c>
      <c r="J9">
        <v>16320</v>
      </c>
      <c r="K9">
        <v>10</v>
      </c>
      <c r="L9" t="s">
        <v>18</v>
      </c>
      <c r="M9" s="97" t="s">
        <v>552</v>
      </c>
    </row>
    <row r="10" spans="1:13" x14ac:dyDescent="0.3">
      <c r="A10">
        <v>30</v>
      </c>
      <c r="B10" t="s">
        <v>13</v>
      </c>
      <c r="C10" t="s">
        <v>20</v>
      </c>
      <c r="D10" t="s">
        <v>15</v>
      </c>
      <c r="E10">
        <v>7</v>
      </c>
      <c r="F10">
        <v>1</v>
      </c>
      <c r="G10" t="s">
        <v>16</v>
      </c>
      <c r="H10" t="s">
        <v>50</v>
      </c>
      <c r="I10">
        <v>49000</v>
      </c>
      <c r="K10">
        <v>12</v>
      </c>
      <c r="L10" t="s">
        <v>18</v>
      </c>
      <c r="M10" s="97" t="s">
        <v>552</v>
      </c>
    </row>
    <row r="11" spans="1:13" x14ac:dyDescent="0.3">
      <c r="A11">
        <v>25</v>
      </c>
      <c r="B11" t="s">
        <v>33</v>
      </c>
      <c r="C11" t="s">
        <v>34</v>
      </c>
      <c r="D11" t="s">
        <v>507</v>
      </c>
      <c r="E11">
        <v>1</v>
      </c>
      <c r="F11">
        <v>1</v>
      </c>
      <c r="G11" t="s">
        <v>271</v>
      </c>
      <c r="H11" t="s">
        <v>22</v>
      </c>
      <c r="I11">
        <v>12000</v>
      </c>
      <c r="J11">
        <v>0</v>
      </c>
      <c r="K11">
        <v>12</v>
      </c>
      <c r="L11" t="s">
        <v>18</v>
      </c>
      <c r="M11" t="s">
        <v>30</v>
      </c>
    </row>
    <row r="12" spans="1:13" x14ac:dyDescent="0.3">
      <c r="A12">
        <v>35</v>
      </c>
      <c r="B12" t="s">
        <v>13</v>
      </c>
      <c r="C12" t="s">
        <v>20</v>
      </c>
      <c r="D12" t="s">
        <v>35</v>
      </c>
      <c r="E12">
        <v>6</v>
      </c>
      <c r="F12">
        <v>6</v>
      </c>
      <c r="G12" t="s">
        <v>16</v>
      </c>
      <c r="H12" t="s">
        <v>32</v>
      </c>
      <c r="I12">
        <v>200000</v>
      </c>
      <c r="J12">
        <v>200000</v>
      </c>
      <c r="K12">
        <v>14</v>
      </c>
      <c r="L12" t="s">
        <v>18</v>
      </c>
      <c r="M12" s="97" t="s">
        <v>552</v>
      </c>
    </row>
    <row r="13" spans="1:13" x14ac:dyDescent="0.3">
      <c r="A13">
        <v>24</v>
      </c>
      <c r="B13" t="s">
        <v>13</v>
      </c>
      <c r="C13" t="s">
        <v>179</v>
      </c>
      <c r="D13" t="s">
        <v>180</v>
      </c>
      <c r="E13">
        <v>3</v>
      </c>
      <c r="F13">
        <v>2</v>
      </c>
      <c r="G13" t="s">
        <v>26</v>
      </c>
      <c r="H13" t="s">
        <v>50</v>
      </c>
      <c r="I13">
        <v>10164</v>
      </c>
      <c r="K13">
        <v>14</v>
      </c>
      <c r="L13" t="s">
        <v>18</v>
      </c>
      <c r="M13" s="97" t="s">
        <v>552</v>
      </c>
    </row>
    <row r="14" spans="1:13" x14ac:dyDescent="0.3">
      <c r="A14">
        <v>28</v>
      </c>
      <c r="B14" t="s">
        <v>13</v>
      </c>
      <c r="C14" t="s">
        <v>20</v>
      </c>
      <c r="D14" t="s">
        <v>81</v>
      </c>
      <c r="E14">
        <v>1</v>
      </c>
      <c r="F14">
        <v>1</v>
      </c>
      <c r="G14" t="s">
        <v>26</v>
      </c>
      <c r="H14" t="s">
        <v>50</v>
      </c>
      <c r="I14">
        <v>43000</v>
      </c>
      <c r="J14">
        <v>43000</v>
      </c>
      <c r="K14">
        <v>14</v>
      </c>
      <c r="L14" t="s">
        <v>18</v>
      </c>
      <c r="M14" t="s">
        <v>67</v>
      </c>
    </row>
    <row r="15" spans="1:13" x14ac:dyDescent="0.3">
      <c r="A15">
        <v>27</v>
      </c>
      <c r="B15" t="s">
        <v>13</v>
      </c>
      <c r="C15" t="s">
        <v>20</v>
      </c>
      <c r="D15" t="s">
        <v>53</v>
      </c>
      <c r="E15">
        <v>4</v>
      </c>
      <c r="F15">
        <v>2</v>
      </c>
      <c r="G15" t="s">
        <v>26</v>
      </c>
      <c r="H15" t="s">
        <v>50</v>
      </c>
      <c r="I15">
        <v>60000</v>
      </c>
      <c r="J15">
        <v>80000</v>
      </c>
      <c r="K15">
        <v>15</v>
      </c>
      <c r="L15" t="s">
        <v>18</v>
      </c>
      <c r="M15" t="s">
        <v>19</v>
      </c>
    </row>
    <row r="16" spans="1:13" x14ac:dyDescent="0.3">
      <c r="A16">
        <v>40</v>
      </c>
      <c r="B16" t="s">
        <v>13</v>
      </c>
      <c r="C16" t="s">
        <v>14</v>
      </c>
      <c r="D16" t="s">
        <v>15</v>
      </c>
      <c r="E16">
        <v>18</v>
      </c>
      <c r="F16">
        <v>18</v>
      </c>
      <c r="G16" t="s">
        <v>16</v>
      </c>
      <c r="H16" t="s">
        <v>32</v>
      </c>
      <c r="I16">
        <v>160000</v>
      </c>
      <c r="K16">
        <v>15</v>
      </c>
      <c r="L16" t="s">
        <v>36</v>
      </c>
      <c r="M16" t="s">
        <v>67</v>
      </c>
    </row>
    <row r="17" spans="1:13" x14ac:dyDescent="0.3">
      <c r="A17">
        <v>29</v>
      </c>
      <c r="B17" t="s">
        <v>13</v>
      </c>
      <c r="C17" t="s">
        <v>237</v>
      </c>
      <c r="D17" t="s">
        <v>53</v>
      </c>
      <c r="E17">
        <v>4</v>
      </c>
      <c r="F17">
        <v>0</v>
      </c>
      <c r="G17" t="s">
        <v>28</v>
      </c>
      <c r="H17" t="s">
        <v>50</v>
      </c>
      <c r="I17">
        <v>37500</v>
      </c>
      <c r="J17">
        <v>0</v>
      </c>
      <c r="K17">
        <v>16</v>
      </c>
      <c r="L17" t="s">
        <v>238</v>
      </c>
      <c r="M17" t="s">
        <v>23</v>
      </c>
    </row>
    <row r="18" spans="1:13" x14ac:dyDescent="0.3">
      <c r="A18">
        <v>24</v>
      </c>
      <c r="B18" t="s">
        <v>33</v>
      </c>
      <c r="C18" t="s">
        <v>208</v>
      </c>
      <c r="D18" t="s">
        <v>15</v>
      </c>
      <c r="E18">
        <v>3</v>
      </c>
      <c r="F18">
        <v>0</v>
      </c>
      <c r="G18" t="s">
        <v>28</v>
      </c>
      <c r="H18" t="s">
        <v>32</v>
      </c>
      <c r="I18">
        <v>29000</v>
      </c>
      <c r="J18">
        <v>0</v>
      </c>
      <c r="K18">
        <v>20</v>
      </c>
      <c r="L18" t="s">
        <v>18</v>
      </c>
      <c r="M18" s="97" t="s">
        <v>552</v>
      </c>
    </row>
    <row r="19" spans="1:13" x14ac:dyDescent="0.3">
      <c r="A19">
        <v>24</v>
      </c>
      <c r="B19" t="s">
        <v>13</v>
      </c>
      <c r="C19" t="s">
        <v>340</v>
      </c>
      <c r="D19" t="s">
        <v>81</v>
      </c>
      <c r="E19">
        <v>5</v>
      </c>
      <c r="F19">
        <v>0</v>
      </c>
      <c r="G19" t="s">
        <v>16</v>
      </c>
      <c r="H19" t="s">
        <v>50</v>
      </c>
      <c r="I19">
        <v>64000</v>
      </c>
      <c r="J19">
        <v>0</v>
      </c>
      <c r="K19">
        <v>20</v>
      </c>
      <c r="L19" t="s">
        <v>18</v>
      </c>
      <c r="M19" s="97" t="s">
        <v>552</v>
      </c>
    </row>
    <row r="20" spans="1:13" x14ac:dyDescent="0.3">
      <c r="A20">
        <v>36</v>
      </c>
      <c r="B20" t="s">
        <v>13</v>
      </c>
      <c r="C20" t="s">
        <v>199</v>
      </c>
      <c r="D20" t="s">
        <v>43</v>
      </c>
      <c r="E20">
        <v>14</v>
      </c>
      <c r="F20">
        <v>8</v>
      </c>
      <c r="G20" t="s">
        <v>16</v>
      </c>
      <c r="H20" t="s">
        <v>80</v>
      </c>
      <c r="I20">
        <v>75000</v>
      </c>
      <c r="J20">
        <v>0</v>
      </c>
      <c r="K20">
        <v>20</v>
      </c>
      <c r="L20" t="s">
        <v>18</v>
      </c>
      <c r="M20" s="97" t="s">
        <v>552</v>
      </c>
    </row>
    <row r="21" spans="1:13" x14ac:dyDescent="0.3">
      <c r="A21">
        <v>28</v>
      </c>
      <c r="B21" t="s">
        <v>13</v>
      </c>
      <c r="C21" t="s">
        <v>219</v>
      </c>
      <c r="D21" t="s">
        <v>43</v>
      </c>
      <c r="E21">
        <v>5</v>
      </c>
      <c r="F21">
        <v>0</v>
      </c>
      <c r="G21" t="s">
        <v>16</v>
      </c>
      <c r="H21" t="s">
        <v>80</v>
      </c>
      <c r="I21">
        <v>45000</v>
      </c>
      <c r="K21">
        <v>20</v>
      </c>
      <c r="L21" t="s">
        <v>18</v>
      </c>
      <c r="M21" s="97" t="s">
        <v>552</v>
      </c>
    </row>
    <row r="22" spans="1:13" x14ac:dyDescent="0.3">
      <c r="A22">
        <v>31</v>
      </c>
      <c r="B22" t="s">
        <v>13</v>
      </c>
      <c r="C22" t="s">
        <v>14</v>
      </c>
      <c r="D22" t="s">
        <v>81</v>
      </c>
      <c r="E22">
        <v>4</v>
      </c>
      <c r="F22">
        <v>4</v>
      </c>
      <c r="G22" t="s">
        <v>16</v>
      </c>
      <c r="H22" t="s">
        <v>50</v>
      </c>
      <c r="I22">
        <v>100000</v>
      </c>
      <c r="J22">
        <v>100000</v>
      </c>
      <c r="K22">
        <v>20</v>
      </c>
      <c r="L22" t="s">
        <v>18</v>
      </c>
      <c r="M22" t="s">
        <v>30</v>
      </c>
    </row>
    <row r="23" spans="1:13" x14ac:dyDescent="0.3">
      <c r="A23">
        <v>25</v>
      </c>
      <c r="B23" t="s">
        <v>13</v>
      </c>
      <c r="C23" t="s">
        <v>370</v>
      </c>
      <c r="D23" t="s">
        <v>53</v>
      </c>
      <c r="E23">
        <v>1</v>
      </c>
      <c r="G23" t="s">
        <v>26</v>
      </c>
      <c r="H23" t="s">
        <v>50</v>
      </c>
      <c r="I23">
        <v>38000</v>
      </c>
      <c r="J23">
        <v>0</v>
      </c>
      <c r="K23">
        <v>20</v>
      </c>
      <c r="L23" t="s">
        <v>18</v>
      </c>
      <c r="M23" t="s">
        <v>30</v>
      </c>
    </row>
    <row r="24" spans="1:13" x14ac:dyDescent="0.3">
      <c r="A24">
        <v>28</v>
      </c>
      <c r="B24" t="s">
        <v>33</v>
      </c>
      <c r="C24" t="s">
        <v>20</v>
      </c>
      <c r="D24" t="s">
        <v>38</v>
      </c>
      <c r="E24">
        <v>5</v>
      </c>
      <c r="F24">
        <v>1</v>
      </c>
      <c r="G24" t="s">
        <v>16</v>
      </c>
      <c r="I24">
        <v>60000</v>
      </c>
      <c r="K24">
        <v>20</v>
      </c>
      <c r="L24" t="s">
        <v>18</v>
      </c>
      <c r="M24" t="s">
        <v>30</v>
      </c>
    </row>
    <row r="25" spans="1:13" x14ac:dyDescent="0.3">
      <c r="A25">
        <v>31</v>
      </c>
      <c r="B25" t="s">
        <v>33</v>
      </c>
      <c r="C25" t="s">
        <v>20</v>
      </c>
      <c r="D25" t="s">
        <v>41</v>
      </c>
      <c r="F25">
        <v>1</v>
      </c>
      <c r="G25" t="s">
        <v>16</v>
      </c>
      <c r="I25">
        <v>60000</v>
      </c>
      <c r="K25">
        <v>20</v>
      </c>
      <c r="L25" t="s">
        <v>18</v>
      </c>
      <c r="M25" t="s">
        <v>30</v>
      </c>
    </row>
    <row r="26" spans="1:13" x14ac:dyDescent="0.3">
      <c r="A26">
        <v>26</v>
      </c>
      <c r="B26" t="s">
        <v>13</v>
      </c>
      <c r="C26" t="s">
        <v>186</v>
      </c>
      <c r="D26" t="s">
        <v>15</v>
      </c>
      <c r="E26">
        <v>4</v>
      </c>
      <c r="F26">
        <v>0</v>
      </c>
      <c r="G26" t="s">
        <v>28</v>
      </c>
      <c r="H26" t="s">
        <v>55</v>
      </c>
      <c r="I26">
        <v>24000</v>
      </c>
      <c r="J26">
        <v>0</v>
      </c>
      <c r="K26">
        <v>20</v>
      </c>
      <c r="L26" t="s">
        <v>18</v>
      </c>
      <c r="M26" t="s">
        <v>23</v>
      </c>
    </row>
    <row r="27" spans="1:13" x14ac:dyDescent="0.3">
      <c r="C27" t="s">
        <v>14</v>
      </c>
      <c r="D27" t="s">
        <v>53</v>
      </c>
      <c r="E27">
        <v>2</v>
      </c>
      <c r="F27">
        <v>2</v>
      </c>
      <c r="G27" t="s">
        <v>28</v>
      </c>
      <c r="H27" t="s">
        <v>50</v>
      </c>
      <c r="I27">
        <v>54000</v>
      </c>
      <c r="K27">
        <v>20</v>
      </c>
      <c r="L27" t="s">
        <v>18</v>
      </c>
      <c r="M27" t="s">
        <v>19</v>
      </c>
    </row>
    <row r="28" spans="1:13" x14ac:dyDescent="0.3">
      <c r="A28">
        <v>30</v>
      </c>
      <c r="B28" t="s">
        <v>33</v>
      </c>
      <c r="C28" t="s">
        <v>20</v>
      </c>
      <c r="D28" t="s">
        <v>52</v>
      </c>
      <c r="E28">
        <v>4</v>
      </c>
      <c r="F28">
        <v>1</v>
      </c>
      <c r="G28" t="s">
        <v>28</v>
      </c>
      <c r="I28">
        <v>52000</v>
      </c>
      <c r="K28">
        <v>20</v>
      </c>
      <c r="L28" t="s">
        <v>18</v>
      </c>
      <c r="M28" t="s">
        <v>19</v>
      </c>
    </row>
    <row r="29" spans="1:13" x14ac:dyDescent="0.3">
      <c r="A29">
        <v>35</v>
      </c>
      <c r="B29" t="s">
        <v>13</v>
      </c>
      <c r="C29" t="s">
        <v>362</v>
      </c>
      <c r="D29" t="s">
        <v>363</v>
      </c>
      <c r="E29">
        <v>1</v>
      </c>
      <c r="F29">
        <v>1</v>
      </c>
      <c r="G29" t="s">
        <v>28</v>
      </c>
      <c r="H29" t="s">
        <v>364</v>
      </c>
      <c r="I29">
        <v>30000</v>
      </c>
      <c r="J29">
        <v>1000</v>
      </c>
      <c r="K29">
        <v>20</v>
      </c>
      <c r="L29" t="s">
        <v>36</v>
      </c>
      <c r="M29" t="s">
        <v>67</v>
      </c>
    </row>
    <row r="30" spans="1:13" x14ac:dyDescent="0.3">
      <c r="A30">
        <v>28</v>
      </c>
      <c r="B30" t="s">
        <v>13</v>
      </c>
      <c r="C30" t="s">
        <v>14</v>
      </c>
      <c r="D30" t="s">
        <v>15</v>
      </c>
      <c r="E30">
        <v>5</v>
      </c>
      <c r="F30">
        <v>6</v>
      </c>
      <c r="G30" t="s">
        <v>16</v>
      </c>
      <c r="H30" t="s">
        <v>37</v>
      </c>
      <c r="I30">
        <v>67000</v>
      </c>
      <c r="J30">
        <v>2000</v>
      </c>
      <c r="K30">
        <v>20</v>
      </c>
      <c r="L30" t="s">
        <v>18</v>
      </c>
      <c r="M30" t="s">
        <v>67</v>
      </c>
    </row>
    <row r="31" spans="1:13" x14ac:dyDescent="0.3">
      <c r="A31">
        <v>27</v>
      </c>
      <c r="B31" t="s">
        <v>13</v>
      </c>
      <c r="C31" t="s">
        <v>208</v>
      </c>
      <c r="D31" t="s">
        <v>15</v>
      </c>
      <c r="E31">
        <v>3</v>
      </c>
      <c r="F31">
        <v>0</v>
      </c>
      <c r="G31" t="s">
        <v>28</v>
      </c>
      <c r="H31" t="s">
        <v>58</v>
      </c>
      <c r="I31">
        <v>21120</v>
      </c>
      <c r="J31">
        <v>3520</v>
      </c>
      <c r="K31">
        <v>21</v>
      </c>
      <c r="L31" t="s">
        <v>209</v>
      </c>
      <c r="M31" s="97" t="s">
        <v>552</v>
      </c>
    </row>
    <row r="32" spans="1:13" x14ac:dyDescent="0.3">
      <c r="A32">
        <v>34</v>
      </c>
      <c r="B32" t="s">
        <v>13</v>
      </c>
      <c r="C32" t="s">
        <v>84</v>
      </c>
      <c r="D32" t="s">
        <v>205</v>
      </c>
      <c r="E32">
        <v>14</v>
      </c>
      <c r="F32">
        <v>2</v>
      </c>
      <c r="G32" t="s">
        <v>24</v>
      </c>
      <c r="H32" t="s">
        <v>64</v>
      </c>
      <c r="I32">
        <v>84000</v>
      </c>
      <c r="J32">
        <v>92000</v>
      </c>
      <c r="K32">
        <v>21</v>
      </c>
      <c r="L32" t="s">
        <v>18</v>
      </c>
      <c r="M32" s="97" t="s">
        <v>552</v>
      </c>
    </row>
    <row r="33" spans="1:13" x14ac:dyDescent="0.3">
      <c r="A33">
        <v>38</v>
      </c>
      <c r="B33" t="s">
        <v>13</v>
      </c>
      <c r="C33" t="s">
        <v>20</v>
      </c>
      <c r="D33" t="s">
        <v>53</v>
      </c>
      <c r="E33">
        <v>15</v>
      </c>
      <c r="F33">
        <v>3</v>
      </c>
      <c r="G33" t="s">
        <v>16</v>
      </c>
      <c r="H33" t="s">
        <v>50</v>
      </c>
      <c r="I33">
        <v>56000</v>
      </c>
      <c r="J33">
        <v>59000</v>
      </c>
      <c r="K33">
        <v>21</v>
      </c>
      <c r="L33" t="s">
        <v>18</v>
      </c>
      <c r="M33" s="97" t="s">
        <v>552</v>
      </c>
    </row>
    <row r="34" spans="1:13" x14ac:dyDescent="0.3">
      <c r="A34">
        <v>23</v>
      </c>
      <c r="B34" t="s">
        <v>13</v>
      </c>
      <c r="C34" t="s">
        <v>335</v>
      </c>
      <c r="D34" t="s">
        <v>231</v>
      </c>
      <c r="E34">
        <v>3</v>
      </c>
      <c r="F34">
        <v>0</v>
      </c>
      <c r="G34" t="s">
        <v>16</v>
      </c>
      <c r="H34" t="s">
        <v>50</v>
      </c>
      <c r="I34">
        <v>49200</v>
      </c>
      <c r="J34">
        <v>2000</v>
      </c>
      <c r="K34">
        <v>21</v>
      </c>
      <c r="L34" t="s">
        <v>18</v>
      </c>
      <c r="M34" t="s">
        <v>30</v>
      </c>
    </row>
    <row r="35" spans="1:13" x14ac:dyDescent="0.3">
      <c r="A35">
        <v>37</v>
      </c>
      <c r="B35" t="s">
        <v>13</v>
      </c>
      <c r="C35" t="s">
        <v>20</v>
      </c>
      <c r="D35" t="s">
        <v>231</v>
      </c>
      <c r="E35">
        <v>3</v>
      </c>
      <c r="F35">
        <v>1</v>
      </c>
      <c r="H35" t="s">
        <v>50</v>
      </c>
      <c r="I35">
        <v>67000</v>
      </c>
      <c r="J35">
        <v>0</v>
      </c>
      <c r="K35">
        <v>21</v>
      </c>
      <c r="L35" t="s">
        <v>18</v>
      </c>
      <c r="M35" t="s">
        <v>30</v>
      </c>
    </row>
    <row r="36" spans="1:13" x14ac:dyDescent="0.3">
      <c r="A36">
        <v>33</v>
      </c>
      <c r="B36" t="s">
        <v>33</v>
      </c>
      <c r="C36" t="s">
        <v>20</v>
      </c>
      <c r="D36" t="s">
        <v>52</v>
      </c>
      <c r="E36">
        <v>9</v>
      </c>
      <c r="F36">
        <v>2</v>
      </c>
      <c r="G36" t="s">
        <v>28</v>
      </c>
      <c r="H36" t="s">
        <v>32</v>
      </c>
      <c r="I36">
        <v>57000</v>
      </c>
      <c r="K36">
        <v>21</v>
      </c>
      <c r="L36" t="s">
        <v>18</v>
      </c>
      <c r="M36" t="s">
        <v>23</v>
      </c>
    </row>
    <row r="37" spans="1:13" x14ac:dyDescent="0.3">
      <c r="A37">
        <v>28</v>
      </c>
      <c r="B37" t="s">
        <v>13</v>
      </c>
      <c r="C37" t="s">
        <v>357</v>
      </c>
      <c r="D37" t="s">
        <v>53</v>
      </c>
      <c r="E37">
        <v>3</v>
      </c>
      <c r="F37">
        <v>0</v>
      </c>
      <c r="G37" t="s">
        <v>28</v>
      </c>
      <c r="H37" t="s">
        <v>50</v>
      </c>
      <c r="I37">
        <v>50000</v>
      </c>
      <c r="J37">
        <v>10000</v>
      </c>
      <c r="K37">
        <v>21</v>
      </c>
      <c r="L37" t="s">
        <v>18</v>
      </c>
      <c r="M37" t="s">
        <v>23</v>
      </c>
    </row>
    <row r="38" spans="1:13" x14ac:dyDescent="0.3">
      <c r="A38">
        <v>39</v>
      </c>
      <c r="B38" t="s">
        <v>13</v>
      </c>
      <c r="C38" t="s">
        <v>20</v>
      </c>
      <c r="D38" t="s">
        <v>27</v>
      </c>
      <c r="E38">
        <v>15</v>
      </c>
      <c r="F38">
        <v>3</v>
      </c>
      <c r="G38" t="s">
        <v>16</v>
      </c>
      <c r="H38" t="s">
        <v>50</v>
      </c>
      <c r="I38">
        <v>70000</v>
      </c>
      <c r="J38">
        <v>0</v>
      </c>
      <c r="K38">
        <v>21</v>
      </c>
      <c r="L38" t="s">
        <v>18</v>
      </c>
      <c r="M38" t="s">
        <v>23</v>
      </c>
    </row>
    <row r="39" spans="1:13" x14ac:dyDescent="0.3">
      <c r="A39">
        <v>22</v>
      </c>
      <c r="B39" t="s">
        <v>13</v>
      </c>
      <c r="C39" t="s">
        <v>169</v>
      </c>
      <c r="D39" t="s">
        <v>21</v>
      </c>
      <c r="E39">
        <v>3</v>
      </c>
      <c r="F39">
        <v>0</v>
      </c>
      <c r="G39" t="s">
        <v>28</v>
      </c>
      <c r="H39" t="s">
        <v>31</v>
      </c>
      <c r="I39">
        <v>27000</v>
      </c>
      <c r="K39">
        <v>21</v>
      </c>
      <c r="L39" t="s">
        <v>170</v>
      </c>
      <c r="M39" t="s">
        <v>19</v>
      </c>
    </row>
    <row r="40" spans="1:13" x14ac:dyDescent="0.3">
      <c r="A40">
        <v>30</v>
      </c>
      <c r="B40" t="s">
        <v>13</v>
      </c>
      <c r="C40" t="s">
        <v>195</v>
      </c>
      <c r="D40" t="s">
        <v>21</v>
      </c>
      <c r="E40">
        <v>8</v>
      </c>
      <c r="F40">
        <v>0</v>
      </c>
      <c r="G40" t="s">
        <v>28</v>
      </c>
      <c r="H40" t="s">
        <v>196</v>
      </c>
      <c r="I40">
        <v>27000</v>
      </c>
      <c r="J40">
        <v>0</v>
      </c>
      <c r="K40">
        <v>21</v>
      </c>
      <c r="L40" t="s">
        <v>197</v>
      </c>
      <c r="M40" t="s">
        <v>19</v>
      </c>
    </row>
    <row r="41" spans="1:13" x14ac:dyDescent="0.3">
      <c r="A41">
        <v>28</v>
      </c>
      <c r="B41" t="s">
        <v>13</v>
      </c>
      <c r="C41" t="s">
        <v>20</v>
      </c>
      <c r="D41" t="s">
        <v>15</v>
      </c>
      <c r="E41">
        <v>3</v>
      </c>
      <c r="F41">
        <v>2</v>
      </c>
      <c r="G41" t="s">
        <v>28</v>
      </c>
      <c r="H41" t="s">
        <v>55</v>
      </c>
      <c r="I41">
        <v>55000</v>
      </c>
      <c r="K41">
        <v>22</v>
      </c>
      <c r="L41" t="s">
        <v>18</v>
      </c>
      <c r="M41" s="97" t="s">
        <v>552</v>
      </c>
    </row>
    <row r="42" spans="1:13" x14ac:dyDescent="0.3">
      <c r="A42">
        <v>33</v>
      </c>
      <c r="B42" t="s">
        <v>13</v>
      </c>
      <c r="C42" t="s">
        <v>20</v>
      </c>
      <c r="D42" t="s">
        <v>21</v>
      </c>
      <c r="E42">
        <v>11</v>
      </c>
      <c r="F42">
        <v>4</v>
      </c>
      <c r="G42" t="s">
        <v>16</v>
      </c>
      <c r="H42" t="s">
        <v>71</v>
      </c>
      <c r="I42">
        <v>154000</v>
      </c>
      <c r="K42">
        <v>22</v>
      </c>
      <c r="L42" t="s">
        <v>36</v>
      </c>
      <c r="M42" s="97" t="s">
        <v>552</v>
      </c>
    </row>
    <row r="43" spans="1:13" x14ac:dyDescent="0.3">
      <c r="A43">
        <v>27</v>
      </c>
      <c r="B43" t="s">
        <v>33</v>
      </c>
      <c r="C43" t="s">
        <v>339</v>
      </c>
      <c r="D43" t="s">
        <v>21</v>
      </c>
      <c r="E43">
        <v>3</v>
      </c>
      <c r="F43">
        <v>0</v>
      </c>
      <c r="G43" t="s">
        <v>28</v>
      </c>
      <c r="H43" t="s">
        <v>32</v>
      </c>
      <c r="I43">
        <v>17500</v>
      </c>
      <c r="J43">
        <v>1250</v>
      </c>
      <c r="K43">
        <v>22</v>
      </c>
      <c r="L43" t="s">
        <v>18</v>
      </c>
      <c r="M43" t="s">
        <v>30</v>
      </c>
    </row>
    <row r="44" spans="1:13" x14ac:dyDescent="0.3">
      <c r="A44">
        <v>29</v>
      </c>
      <c r="B44" t="s">
        <v>13</v>
      </c>
      <c r="C44" t="s">
        <v>203</v>
      </c>
      <c r="D44" t="s">
        <v>25</v>
      </c>
      <c r="E44">
        <v>2</v>
      </c>
      <c r="G44" t="s">
        <v>28</v>
      </c>
      <c r="H44" t="s">
        <v>55</v>
      </c>
      <c r="I44">
        <v>18700</v>
      </c>
      <c r="J44">
        <v>19200</v>
      </c>
      <c r="K44">
        <v>22</v>
      </c>
      <c r="L44" t="s">
        <v>170</v>
      </c>
      <c r="M44" t="s">
        <v>30</v>
      </c>
    </row>
    <row r="45" spans="1:13" x14ac:dyDescent="0.3">
      <c r="A45">
        <v>28</v>
      </c>
      <c r="B45" t="s">
        <v>13</v>
      </c>
      <c r="C45" t="s">
        <v>20</v>
      </c>
      <c r="D45" t="s">
        <v>372</v>
      </c>
      <c r="E45">
        <v>4</v>
      </c>
      <c r="F45">
        <v>0</v>
      </c>
      <c r="G45" t="s">
        <v>26</v>
      </c>
      <c r="H45" t="s">
        <v>42</v>
      </c>
      <c r="I45">
        <v>55000</v>
      </c>
      <c r="J45">
        <v>0</v>
      </c>
      <c r="K45">
        <v>22</v>
      </c>
      <c r="L45" t="s">
        <v>18</v>
      </c>
      <c r="M45" t="s">
        <v>30</v>
      </c>
    </row>
    <row r="46" spans="1:13" x14ac:dyDescent="0.3">
      <c r="A46">
        <v>26</v>
      </c>
      <c r="B46" t="s">
        <v>13</v>
      </c>
      <c r="C46" t="s">
        <v>339</v>
      </c>
      <c r="D46" t="s">
        <v>15</v>
      </c>
      <c r="E46">
        <v>4</v>
      </c>
      <c r="F46">
        <v>0</v>
      </c>
      <c r="G46" t="s">
        <v>28</v>
      </c>
      <c r="H46" t="s">
        <v>55</v>
      </c>
      <c r="I46">
        <v>21000</v>
      </c>
      <c r="J46">
        <v>0</v>
      </c>
      <c r="K46">
        <v>22</v>
      </c>
      <c r="L46" t="s">
        <v>18</v>
      </c>
      <c r="M46" t="s">
        <v>19</v>
      </c>
    </row>
    <row r="47" spans="1:13" x14ac:dyDescent="0.3">
      <c r="A47">
        <v>27</v>
      </c>
      <c r="B47" t="s">
        <v>13</v>
      </c>
      <c r="C47" t="s">
        <v>14</v>
      </c>
      <c r="D47" t="s">
        <v>15</v>
      </c>
      <c r="E47">
        <v>5</v>
      </c>
      <c r="F47">
        <v>1</v>
      </c>
      <c r="G47" t="s">
        <v>16</v>
      </c>
      <c r="H47" t="s">
        <v>55</v>
      </c>
      <c r="I47">
        <v>65000</v>
      </c>
      <c r="K47">
        <v>22</v>
      </c>
      <c r="L47" t="s">
        <v>18</v>
      </c>
      <c r="M47" t="s">
        <v>19</v>
      </c>
    </row>
    <row r="48" spans="1:13" x14ac:dyDescent="0.3">
      <c r="A48">
        <v>29</v>
      </c>
      <c r="B48" t="s">
        <v>13</v>
      </c>
      <c r="C48" t="s">
        <v>279</v>
      </c>
      <c r="D48" t="s">
        <v>53</v>
      </c>
      <c r="E48">
        <v>0</v>
      </c>
      <c r="F48">
        <v>0</v>
      </c>
      <c r="G48" t="s">
        <v>26</v>
      </c>
      <c r="H48" t="s">
        <v>50</v>
      </c>
      <c r="I48">
        <v>22000</v>
      </c>
      <c r="J48">
        <v>2000</v>
      </c>
      <c r="K48">
        <v>22</v>
      </c>
      <c r="L48" t="s">
        <v>18</v>
      </c>
      <c r="M48" t="s">
        <v>19</v>
      </c>
    </row>
    <row r="49" spans="1:13" x14ac:dyDescent="0.3">
      <c r="A49">
        <v>25</v>
      </c>
      <c r="B49" t="s">
        <v>33</v>
      </c>
      <c r="C49" t="s">
        <v>20</v>
      </c>
      <c r="D49" t="s">
        <v>25</v>
      </c>
      <c r="E49">
        <v>4</v>
      </c>
      <c r="F49">
        <v>1</v>
      </c>
      <c r="G49" t="s">
        <v>28</v>
      </c>
      <c r="H49" t="s">
        <v>55</v>
      </c>
      <c r="I49">
        <v>60000</v>
      </c>
      <c r="K49">
        <v>23</v>
      </c>
      <c r="L49" t="s">
        <v>18</v>
      </c>
      <c r="M49" s="97" t="s">
        <v>552</v>
      </c>
    </row>
    <row r="50" spans="1:13" x14ac:dyDescent="0.3">
      <c r="A50">
        <v>26</v>
      </c>
      <c r="B50" t="s">
        <v>13</v>
      </c>
      <c r="C50" t="s">
        <v>20</v>
      </c>
      <c r="D50" t="s">
        <v>27</v>
      </c>
      <c r="E50">
        <v>5</v>
      </c>
      <c r="F50">
        <v>2</v>
      </c>
      <c r="G50" t="s">
        <v>28</v>
      </c>
      <c r="H50" t="s">
        <v>47</v>
      </c>
      <c r="I50">
        <v>72000</v>
      </c>
      <c r="K50">
        <v>23</v>
      </c>
      <c r="L50" t="s">
        <v>18</v>
      </c>
      <c r="M50" s="97" t="s">
        <v>552</v>
      </c>
    </row>
    <row r="51" spans="1:13" x14ac:dyDescent="0.3">
      <c r="A51">
        <v>34</v>
      </c>
      <c r="B51" t="s">
        <v>13</v>
      </c>
      <c r="C51" t="s">
        <v>140</v>
      </c>
      <c r="D51" t="s">
        <v>43</v>
      </c>
      <c r="E51">
        <v>14</v>
      </c>
      <c r="F51">
        <v>2</v>
      </c>
      <c r="G51" t="s">
        <v>16</v>
      </c>
      <c r="H51" t="s">
        <v>79</v>
      </c>
      <c r="I51">
        <v>60000</v>
      </c>
      <c r="J51">
        <v>60000</v>
      </c>
      <c r="K51">
        <v>23</v>
      </c>
      <c r="L51" t="s">
        <v>18</v>
      </c>
      <c r="M51" t="s">
        <v>23</v>
      </c>
    </row>
    <row r="52" spans="1:13" x14ac:dyDescent="0.3">
      <c r="A52">
        <v>31</v>
      </c>
      <c r="B52" t="s">
        <v>13</v>
      </c>
      <c r="C52" t="s">
        <v>34</v>
      </c>
      <c r="D52" t="s">
        <v>53</v>
      </c>
      <c r="E52">
        <v>9</v>
      </c>
      <c r="F52">
        <v>9</v>
      </c>
      <c r="G52" t="s">
        <v>28</v>
      </c>
      <c r="H52" t="s">
        <v>50</v>
      </c>
      <c r="I52">
        <v>50000</v>
      </c>
      <c r="J52">
        <v>0</v>
      </c>
      <c r="K52">
        <v>23</v>
      </c>
      <c r="L52" t="s">
        <v>36</v>
      </c>
      <c r="M52" t="s">
        <v>67</v>
      </c>
    </row>
    <row r="53" spans="1:13" x14ac:dyDescent="0.3">
      <c r="B53" t="s">
        <v>13</v>
      </c>
      <c r="C53" t="s">
        <v>20</v>
      </c>
      <c r="D53" t="s">
        <v>15</v>
      </c>
      <c r="E53">
        <v>25</v>
      </c>
      <c r="F53">
        <v>11</v>
      </c>
      <c r="G53" t="s">
        <v>16</v>
      </c>
      <c r="H53" t="s">
        <v>37</v>
      </c>
      <c r="I53">
        <v>100000</v>
      </c>
      <c r="J53">
        <v>101</v>
      </c>
      <c r="K53">
        <v>24</v>
      </c>
      <c r="L53" t="s">
        <v>18</v>
      </c>
      <c r="M53" s="97" t="s">
        <v>552</v>
      </c>
    </row>
    <row r="54" spans="1:13" x14ac:dyDescent="0.3">
      <c r="A54">
        <v>33</v>
      </c>
      <c r="B54" t="s">
        <v>13</v>
      </c>
      <c r="C54" t="s">
        <v>70</v>
      </c>
      <c r="D54" t="s">
        <v>15</v>
      </c>
      <c r="E54">
        <v>4</v>
      </c>
      <c r="F54">
        <v>0</v>
      </c>
      <c r="G54" t="s">
        <v>28</v>
      </c>
      <c r="H54" t="s">
        <v>32</v>
      </c>
      <c r="I54">
        <v>50000</v>
      </c>
      <c r="K54">
        <v>24</v>
      </c>
      <c r="L54" t="s">
        <v>18</v>
      </c>
      <c r="M54" s="97" t="s">
        <v>552</v>
      </c>
    </row>
    <row r="55" spans="1:13" x14ac:dyDescent="0.3">
      <c r="B55" t="s">
        <v>13</v>
      </c>
      <c r="C55" t="s">
        <v>14</v>
      </c>
      <c r="D55" t="s">
        <v>25</v>
      </c>
      <c r="E55">
        <v>5</v>
      </c>
      <c r="F55">
        <v>3</v>
      </c>
      <c r="G55" t="s">
        <v>24</v>
      </c>
      <c r="H55" t="s">
        <v>55</v>
      </c>
      <c r="I55">
        <v>70000</v>
      </c>
      <c r="K55">
        <v>24</v>
      </c>
      <c r="L55" t="s">
        <v>18</v>
      </c>
      <c r="M55" s="97" t="s">
        <v>552</v>
      </c>
    </row>
    <row r="56" spans="1:13" x14ac:dyDescent="0.3">
      <c r="A56">
        <v>40</v>
      </c>
      <c r="B56" t="s">
        <v>13</v>
      </c>
      <c r="C56" t="s">
        <v>20</v>
      </c>
      <c r="D56" t="s">
        <v>25</v>
      </c>
      <c r="E56">
        <v>7</v>
      </c>
      <c r="F56">
        <v>1</v>
      </c>
      <c r="G56" t="s">
        <v>28</v>
      </c>
      <c r="H56" t="s">
        <v>55</v>
      </c>
      <c r="I56">
        <v>54000</v>
      </c>
      <c r="K56">
        <v>24</v>
      </c>
      <c r="L56" t="s">
        <v>18</v>
      </c>
      <c r="M56" s="97" t="s">
        <v>552</v>
      </c>
    </row>
    <row r="57" spans="1:13" x14ac:dyDescent="0.3">
      <c r="A57">
        <v>37</v>
      </c>
      <c r="B57" t="s">
        <v>13</v>
      </c>
      <c r="C57" t="s">
        <v>20</v>
      </c>
      <c r="D57" t="s">
        <v>25</v>
      </c>
      <c r="E57">
        <v>6</v>
      </c>
      <c r="F57">
        <v>0.4</v>
      </c>
      <c r="G57" t="s">
        <v>28</v>
      </c>
      <c r="H57" t="s">
        <v>55</v>
      </c>
      <c r="I57">
        <v>57000</v>
      </c>
      <c r="K57">
        <v>24</v>
      </c>
      <c r="L57" t="s">
        <v>18</v>
      </c>
      <c r="M57" s="97" t="s">
        <v>552</v>
      </c>
    </row>
    <row r="58" spans="1:13" x14ac:dyDescent="0.3">
      <c r="A58">
        <v>36</v>
      </c>
      <c r="B58" t="s">
        <v>13</v>
      </c>
      <c r="C58" t="s">
        <v>20</v>
      </c>
      <c r="D58" t="s">
        <v>25</v>
      </c>
      <c r="E58">
        <v>14</v>
      </c>
      <c r="F58">
        <v>5</v>
      </c>
      <c r="G58" t="s">
        <v>16</v>
      </c>
      <c r="H58" t="s">
        <v>55</v>
      </c>
      <c r="I58">
        <v>78000</v>
      </c>
      <c r="K58">
        <v>24</v>
      </c>
      <c r="L58" t="s">
        <v>18</v>
      </c>
      <c r="M58" s="97" t="s">
        <v>552</v>
      </c>
    </row>
    <row r="59" spans="1:13" x14ac:dyDescent="0.3">
      <c r="A59">
        <v>22</v>
      </c>
      <c r="B59" t="s">
        <v>33</v>
      </c>
      <c r="C59" t="s">
        <v>309</v>
      </c>
      <c r="D59" t="s">
        <v>25</v>
      </c>
      <c r="E59">
        <v>2</v>
      </c>
      <c r="F59">
        <v>0</v>
      </c>
      <c r="G59" t="s">
        <v>26</v>
      </c>
      <c r="H59" t="s">
        <v>55</v>
      </c>
      <c r="I59">
        <v>24000</v>
      </c>
      <c r="K59">
        <v>24</v>
      </c>
      <c r="L59" t="s">
        <v>18</v>
      </c>
      <c r="M59" s="97" t="s">
        <v>552</v>
      </c>
    </row>
    <row r="60" spans="1:13" x14ac:dyDescent="0.3">
      <c r="A60">
        <v>32</v>
      </c>
      <c r="B60" t="s">
        <v>13</v>
      </c>
      <c r="C60" t="s">
        <v>20</v>
      </c>
      <c r="D60" t="s">
        <v>21</v>
      </c>
      <c r="E60">
        <v>10</v>
      </c>
      <c r="F60">
        <v>5</v>
      </c>
      <c r="G60" t="s">
        <v>16</v>
      </c>
      <c r="H60" t="s">
        <v>122</v>
      </c>
      <c r="I60">
        <v>80000</v>
      </c>
      <c r="K60">
        <v>24</v>
      </c>
      <c r="L60" t="s">
        <v>18</v>
      </c>
      <c r="M60" s="97" t="s">
        <v>552</v>
      </c>
    </row>
    <row r="61" spans="1:13" x14ac:dyDescent="0.3">
      <c r="A61">
        <v>29</v>
      </c>
      <c r="B61" t="s">
        <v>13</v>
      </c>
      <c r="C61" t="s">
        <v>160</v>
      </c>
      <c r="D61" t="s">
        <v>43</v>
      </c>
      <c r="E61">
        <v>5</v>
      </c>
      <c r="F61">
        <v>2</v>
      </c>
      <c r="G61" t="s">
        <v>28</v>
      </c>
      <c r="H61" t="s">
        <v>161</v>
      </c>
      <c r="I61">
        <v>55000</v>
      </c>
      <c r="J61">
        <v>4000</v>
      </c>
      <c r="K61">
        <v>24</v>
      </c>
      <c r="L61" t="s">
        <v>18</v>
      </c>
      <c r="M61" s="97" t="s">
        <v>552</v>
      </c>
    </row>
    <row r="62" spans="1:13" x14ac:dyDescent="0.3">
      <c r="A62">
        <v>26</v>
      </c>
      <c r="B62" t="s">
        <v>13</v>
      </c>
      <c r="C62" t="s">
        <v>20</v>
      </c>
      <c r="D62" t="s">
        <v>21</v>
      </c>
      <c r="E62">
        <v>2</v>
      </c>
      <c r="F62">
        <v>2</v>
      </c>
      <c r="G62" t="s">
        <v>26</v>
      </c>
      <c r="H62" t="s">
        <v>31</v>
      </c>
      <c r="I62">
        <v>25000</v>
      </c>
      <c r="J62">
        <v>1000</v>
      </c>
      <c r="K62">
        <v>24</v>
      </c>
      <c r="L62" t="s">
        <v>36</v>
      </c>
      <c r="M62" s="97" t="s">
        <v>552</v>
      </c>
    </row>
    <row r="63" spans="1:13" x14ac:dyDescent="0.3">
      <c r="A63">
        <v>29</v>
      </c>
      <c r="B63" t="s">
        <v>33</v>
      </c>
      <c r="C63" t="s">
        <v>20</v>
      </c>
      <c r="D63" t="s">
        <v>15</v>
      </c>
      <c r="E63">
        <v>5</v>
      </c>
      <c r="F63">
        <v>2</v>
      </c>
      <c r="G63" t="s">
        <v>28</v>
      </c>
      <c r="H63" t="s">
        <v>31</v>
      </c>
      <c r="I63">
        <v>55000</v>
      </c>
      <c r="K63">
        <v>24</v>
      </c>
      <c r="L63" t="s">
        <v>18</v>
      </c>
      <c r="M63" s="97" t="s">
        <v>552</v>
      </c>
    </row>
    <row r="64" spans="1:13" x14ac:dyDescent="0.3">
      <c r="A64">
        <v>29</v>
      </c>
      <c r="B64" t="s">
        <v>13</v>
      </c>
      <c r="C64" t="s">
        <v>20</v>
      </c>
      <c r="D64" t="s">
        <v>15</v>
      </c>
      <c r="E64">
        <v>8</v>
      </c>
      <c r="F64">
        <v>3</v>
      </c>
      <c r="G64" t="s">
        <v>28</v>
      </c>
      <c r="H64" t="s">
        <v>31</v>
      </c>
      <c r="I64">
        <v>55000</v>
      </c>
      <c r="K64">
        <v>24</v>
      </c>
      <c r="L64" t="s">
        <v>18</v>
      </c>
      <c r="M64" s="97" t="s">
        <v>552</v>
      </c>
    </row>
    <row r="65" spans="1:13" x14ac:dyDescent="0.3">
      <c r="A65">
        <v>45</v>
      </c>
      <c r="B65" t="s">
        <v>13</v>
      </c>
      <c r="C65" t="s">
        <v>20</v>
      </c>
      <c r="D65" t="s">
        <v>21</v>
      </c>
      <c r="E65">
        <v>30</v>
      </c>
      <c r="F65">
        <v>1</v>
      </c>
      <c r="G65" t="s">
        <v>16</v>
      </c>
      <c r="H65" t="s">
        <v>31</v>
      </c>
      <c r="I65">
        <v>55000</v>
      </c>
      <c r="J65">
        <v>0</v>
      </c>
      <c r="K65">
        <v>24</v>
      </c>
      <c r="L65" t="s">
        <v>18</v>
      </c>
      <c r="M65" s="97" t="s">
        <v>552</v>
      </c>
    </row>
    <row r="66" spans="1:13" x14ac:dyDescent="0.3">
      <c r="A66">
        <v>24</v>
      </c>
      <c r="B66" t="s">
        <v>13</v>
      </c>
      <c r="C66" t="s">
        <v>20</v>
      </c>
      <c r="D66" t="s">
        <v>81</v>
      </c>
      <c r="E66">
        <v>0.8</v>
      </c>
      <c r="F66">
        <v>0.2</v>
      </c>
      <c r="G66" t="s">
        <v>26</v>
      </c>
      <c r="H66" t="s">
        <v>50</v>
      </c>
      <c r="I66">
        <v>11500</v>
      </c>
      <c r="J66">
        <v>0</v>
      </c>
      <c r="K66">
        <v>24</v>
      </c>
      <c r="L66" t="s">
        <v>18</v>
      </c>
      <c r="M66" s="97" t="s">
        <v>552</v>
      </c>
    </row>
    <row r="67" spans="1:13" x14ac:dyDescent="0.3">
      <c r="A67">
        <v>25</v>
      </c>
      <c r="B67" t="s">
        <v>13</v>
      </c>
      <c r="C67" t="s">
        <v>20</v>
      </c>
      <c r="D67" t="s">
        <v>21</v>
      </c>
      <c r="E67">
        <v>4</v>
      </c>
      <c r="F67">
        <v>1</v>
      </c>
      <c r="G67" t="s">
        <v>28</v>
      </c>
      <c r="H67" t="s">
        <v>50</v>
      </c>
      <c r="I67">
        <v>60000</v>
      </c>
      <c r="K67">
        <v>24</v>
      </c>
      <c r="L67" t="s">
        <v>18</v>
      </c>
      <c r="M67" s="97" t="s">
        <v>552</v>
      </c>
    </row>
    <row r="68" spans="1:13" x14ac:dyDescent="0.3">
      <c r="A68">
        <v>29</v>
      </c>
      <c r="B68" t="s">
        <v>13</v>
      </c>
      <c r="C68" t="s">
        <v>237</v>
      </c>
      <c r="D68" t="s">
        <v>53</v>
      </c>
      <c r="E68">
        <v>3</v>
      </c>
      <c r="F68">
        <v>0</v>
      </c>
      <c r="G68" t="s">
        <v>28</v>
      </c>
      <c r="H68" t="s">
        <v>50</v>
      </c>
      <c r="I68">
        <v>32000</v>
      </c>
      <c r="J68">
        <v>6000</v>
      </c>
      <c r="K68">
        <v>24</v>
      </c>
      <c r="M68" s="97" t="s">
        <v>552</v>
      </c>
    </row>
    <row r="69" spans="1:13" x14ac:dyDescent="0.3">
      <c r="A69">
        <v>29</v>
      </c>
      <c r="B69" t="s">
        <v>13</v>
      </c>
      <c r="C69" t="s">
        <v>20</v>
      </c>
      <c r="D69" t="s">
        <v>53</v>
      </c>
      <c r="E69">
        <v>5</v>
      </c>
      <c r="F69">
        <v>2</v>
      </c>
      <c r="G69" t="s">
        <v>16</v>
      </c>
      <c r="H69" t="s">
        <v>50</v>
      </c>
      <c r="I69">
        <v>75000</v>
      </c>
      <c r="J69">
        <v>0</v>
      </c>
      <c r="K69">
        <v>24</v>
      </c>
      <c r="L69" t="s">
        <v>18</v>
      </c>
      <c r="M69" s="97" t="s">
        <v>552</v>
      </c>
    </row>
    <row r="70" spans="1:13" x14ac:dyDescent="0.3">
      <c r="A70">
        <v>32</v>
      </c>
      <c r="B70" t="s">
        <v>13</v>
      </c>
      <c r="C70" t="s">
        <v>14</v>
      </c>
      <c r="D70" t="s">
        <v>15</v>
      </c>
      <c r="E70">
        <v>10</v>
      </c>
      <c r="F70">
        <v>5</v>
      </c>
      <c r="G70" t="s">
        <v>62</v>
      </c>
      <c r="H70" t="s">
        <v>71</v>
      </c>
      <c r="I70">
        <v>95000</v>
      </c>
      <c r="J70">
        <v>0</v>
      </c>
      <c r="K70">
        <v>24</v>
      </c>
      <c r="L70" t="s">
        <v>18</v>
      </c>
      <c r="M70" s="97" t="s">
        <v>552</v>
      </c>
    </row>
    <row r="71" spans="1:13" x14ac:dyDescent="0.3">
      <c r="A71">
        <v>30</v>
      </c>
      <c r="B71" t="s">
        <v>13</v>
      </c>
      <c r="C71" t="s">
        <v>14</v>
      </c>
      <c r="D71" t="s">
        <v>43</v>
      </c>
      <c r="E71">
        <v>8</v>
      </c>
      <c r="F71">
        <v>2</v>
      </c>
      <c r="G71" t="s">
        <v>24</v>
      </c>
      <c r="H71" t="s">
        <v>80</v>
      </c>
      <c r="I71">
        <v>75000</v>
      </c>
      <c r="J71">
        <v>86000</v>
      </c>
      <c r="K71">
        <v>24</v>
      </c>
      <c r="L71" t="s">
        <v>18</v>
      </c>
      <c r="M71" s="97" t="s">
        <v>552</v>
      </c>
    </row>
    <row r="72" spans="1:13" x14ac:dyDescent="0.3">
      <c r="A72">
        <v>28</v>
      </c>
      <c r="B72" t="s">
        <v>13</v>
      </c>
      <c r="C72" t="s">
        <v>70</v>
      </c>
      <c r="D72" t="s">
        <v>43</v>
      </c>
      <c r="E72">
        <v>5</v>
      </c>
      <c r="F72">
        <v>1</v>
      </c>
      <c r="G72" t="s">
        <v>16</v>
      </c>
      <c r="H72" t="s">
        <v>80</v>
      </c>
      <c r="I72">
        <v>50000</v>
      </c>
      <c r="J72">
        <v>0</v>
      </c>
      <c r="K72">
        <v>24</v>
      </c>
      <c r="L72" t="s">
        <v>18</v>
      </c>
      <c r="M72" s="97" t="s">
        <v>552</v>
      </c>
    </row>
    <row r="73" spans="1:13" x14ac:dyDescent="0.3">
      <c r="A73">
        <v>27</v>
      </c>
      <c r="B73" t="s">
        <v>33</v>
      </c>
      <c r="C73" t="s">
        <v>20</v>
      </c>
      <c r="D73" t="s">
        <v>21</v>
      </c>
      <c r="E73">
        <v>3</v>
      </c>
      <c r="F73">
        <v>1</v>
      </c>
      <c r="G73" t="s">
        <v>28</v>
      </c>
      <c r="I73">
        <v>60000</v>
      </c>
      <c r="K73">
        <v>24</v>
      </c>
      <c r="L73" t="s">
        <v>18</v>
      </c>
      <c r="M73" s="97" t="s">
        <v>552</v>
      </c>
    </row>
    <row r="74" spans="1:13" x14ac:dyDescent="0.3">
      <c r="A74">
        <v>33</v>
      </c>
      <c r="B74" t="s">
        <v>33</v>
      </c>
      <c r="C74" t="s">
        <v>20</v>
      </c>
      <c r="D74" t="s">
        <v>52</v>
      </c>
      <c r="E74">
        <v>8</v>
      </c>
      <c r="F74">
        <v>1.5</v>
      </c>
      <c r="G74" t="s">
        <v>16</v>
      </c>
      <c r="I74">
        <v>50000</v>
      </c>
      <c r="K74">
        <v>24</v>
      </c>
      <c r="L74" t="s">
        <v>18</v>
      </c>
      <c r="M74" s="97" t="s">
        <v>552</v>
      </c>
    </row>
    <row r="75" spans="1:13" x14ac:dyDescent="0.3">
      <c r="A75">
        <v>22</v>
      </c>
      <c r="B75" t="s">
        <v>33</v>
      </c>
      <c r="C75" t="s">
        <v>20</v>
      </c>
      <c r="D75" t="s">
        <v>248</v>
      </c>
      <c r="E75">
        <v>4</v>
      </c>
      <c r="F75">
        <v>1</v>
      </c>
      <c r="G75" t="s">
        <v>28</v>
      </c>
      <c r="H75" t="s">
        <v>249</v>
      </c>
      <c r="I75">
        <v>39000</v>
      </c>
      <c r="K75">
        <v>24</v>
      </c>
      <c r="L75" t="s">
        <v>18</v>
      </c>
      <c r="M75" t="s">
        <v>30</v>
      </c>
    </row>
    <row r="76" spans="1:13" x14ac:dyDescent="0.3">
      <c r="A76">
        <v>26</v>
      </c>
      <c r="B76" t="s">
        <v>13</v>
      </c>
      <c r="C76" t="s">
        <v>20</v>
      </c>
      <c r="D76" t="s">
        <v>273</v>
      </c>
      <c r="E76">
        <v>9</v>
      </c>
      <c r="F76">
        <v>4</v>
      </c>
      <c r="G76" t="s">
        <v>62</v>
      </c>
      <c r="H76" t="s">
        <v>51</v>
      </c>
      <c r="I76">
        <v>120000</v>
      </c>
      <c r="J76">
        <v>50000</v>
      </c>
      <c r="K76">
        <v>24</v>
      </c>
      <c r="L76" t="s">
        <v>18</v>
      </c>
      <c r="M76" t="s">
        <v>30</v>
      </c>
    </row>
    <row r="77" spans="1:13" x14ac:dyDescent="0.3">
      <c r="B77" t="s">
        <v>13</v>
      </c>
      <c r="C77" t="s">
        <v>20</v>
      </c>
      <c r="D77" t="s">
        <v>15</v>
      </c>
      <c r="E77">
        <v>9</v>
      </c>
      <c r="F77">
        <v>1</v>
      </c>
      <c r="G77" t="s">
        <v>24</v>
      </c>
      <c r="H77" t="s">
        <v>32</v>
      </c>
      <c r="I77">
        <v>75000</v>
      </c>
      <c r="K77">
        <v>24</v>
      </c>
      <c r="L77" t="s">
        <v>18</v>
      </c>
      <c r="M77" t="s">
        <v>30</v>
      </c>
    </row>
    <row r="78" spans="1:13" x14ac:dyDescent="0.3">
      <c r="A78">
        <v>29</v>
      </c>
      <c r="B78" t="s">
        <v>13</v>
      </c>
      <c r="C78" t="s">
        <v>14</v>
      </c>
      <c r="D78" t="s">
        <v>15</v>
      </c>
      <c r="E78">
        <v>7</v>
      </c>
      <c r="F78">
        <v>3</v>
      </c>
      <c r="G78" t="s">
        <v>16</v>
      </c>
      <c r="H78" t="s">
        <v>55</v>
      </c>
      <c r="I78">
        <v>80000</v>
      </c>
      <c r="J78">
        <v>5000</v>
      </c>
      <c r="K78">
        <v>24</v>
      </c>
      <c r="L78" t="s">
        <v>18</v>
      </c>
      <c r="M78" t="s">
        <v>30</v>
      </c>
    </row>
    <row r="79" spans="1:13" x14ac:dyDescent="0.3">
      <c r="A79">
        <v>34</v>
      </c>
      <c r="B79" t="s">
        <v>13</v>
      </c>
      <c r="C79" t="s">
        <v>20</v>
      </c>
      <c r="D79" t="s">
        <v>44</v>
      </c>
      <c r="E79">
        <v>15</v>
      </c>
      <c r="F79">
        <v>9</v>
      </c>
      <c r="G79" t="s">
        <v>24</v>
      </c>
      <c r="H79" t="s">
        <v>122</v>
      </c>
      <c r="I79">
        <v>100000</v>
      </c>
      <c r="K79">
        <v>24</v>
      </c>
      <c r="L79" t="s">
        <v>18</v>
      </c>
      <c r="M79" t="s">
        <v>30</v>
      </c>
    </row>
    <row r="80" spans="1:13" x14ac:dyDescent="0.3">
      <c r="A80">
        <v>33</v>
      </c>
      <c r="B80" t="s">
        <v>13</v>
      </c>
      <c r="C80" t="s">
        <v>20</v>
      </c>
      <c r="D80" t="s">
        <v>53</v>
      </c>
      <c r="E80">
        <v>5</v>
      </c>
      <c r="F80">
        <v>4</v>
      </c>
      <c r="G80" t="s">
        <v>24</v>
      </c>
      <c r="H80" t="s">
        <v>50</v>
      </c>
      <c r="I80">
        <v>150000</v>
      </c>
      <c r="J80">
        <v>80000</v>
      </c>
      <c r="K80">
        <v>24</v>
      </c>
      <c r="L80" t="s">
        <v>18</v>
      </c>
      <c r="M80" t="s">
        <v>30</v>
      </c>
    </row>
    <row r="81" spans="1:13" x14ac:dyDescent="0.3">
      <c r="A81">
        <v>26</v>
      </c>
      <c r="B81" t="s">
        <v>13</v>
      </c>
      <c r="C81" t="s">
        <v>408</v>
      </c>
      <c r="D81" t="s">
        <v>95</v>
      </c>
      <c r="E81">
        <v>5</v>
      </c>
      <c r="G81" t="s">
        <v>28</v>
      </c>
      <c r="H81" t="s">
        <v>50</v>
      </c>
      <c r="I81">
        <v>20000</v>
      </c>
      <c r="J81">
        <v>2000</v>
      </c>
      <c r="K81">
        <v>24</v>
      </c>
      <c r="L81" t="s">
        <v>164</v>
      </c>
      <c r="M81" t="s">
        <v>30</v>
      </c>
    </row>
    <row r="82" spans="1:13" x14ac:dyDescent="0.3">
      <c r="A82">
        <v>26</v>
      </c>
      <c r="B82" t="s">
        <v>13</v>
      </c>
      <c r="C82" t="s">
        <v>408</v>
      </c>
      <c r="D82" t="s">
        <v>95</v>
      </c>
      <c r="E82">
        <v>5</v>
      </c>
      <c r="G82" t="s">
        <v>28</v>
      </c>
      <c r="H82" t="s">
        <v>50</v>
      </c>
      <c r="I82">
        <v>20000</v>
      </c>
      <c r="J82">
        <v>2000</v>
      </c>
      <c r="K82">
        <v>24</v>
      </c>
      <c r="L82" t="s">
        <v>164</v>
      </c>
      <c r="M82" t="s">
        <v>30</v>
      </c>
    </row>
    <row r="83" spans="1:13" x14ac:dyDescent="0.3">
      <c r="A83">
        <v>30</v>
      </c>
      <c r="B83" t="s">
        <v>13</v>
      </c>
      <c r="C83" t="s">
        <v>20</v>
      </c>
      <c r="D83" t="s">
        <v>21</v>
      </c>
      <c r="E83">
        <v>9</v>
      </c>
      <c r="F83">
        <v>5</v>
      </c>
      <c r="G83" t="s">
        <v>16</v>
      </c>
      <c r="H83" t="s">
        <v>71</v>
      </c>
      <c r="I83">
        <v>85000</v>
      </c>
      <c r="J83">
        <v>90000</v>
      </c>
      <c r="K83">
        <v>24</v>
      </c>
      <c r="L83" t="s">
        <v>18</v>
      </c>
      <c r="M83" t="s">
        <v>30</v>
      </c>
    </row>
    <row r="84" spans="1:13" x14ac:dyDescent="0.3">
      <c r="A84">
        <v>33</v>
      </c>
      <c r="B84" t="s">
        <v>13</v>
      </c>
      <c r="C84" t="s">
        <v>20</v>
      </c>
      <c r="D84" t="s">
        <v>15</v>
      </c>
      <c r="E84">
        <v>11</v>
      </c>
      <c r="F84">
        <v>5</v>
      </c>
      <c r="G84" t="s">
        <v>16</v>
      </c>
      <c r="H84" t="s">
        <v>71</v>
      </c>
      <c r="I84">
        <v>107000</v>
      </c>
      <c r="J84">
        <v>90000</v>
      </c>
      <c r="K84">
        <v>24</v>
      </c>
      <c r="L84" t="s">
        <v>18</v>
      </c>
      <c r="M84" t="s">
        <v>30</v>
      </c>
    </row>
    <row r="85" spans="1:13" x14ac:dyDescent="0.3">
      <c r="A85">
        <v>27</v>
      </c>
      <c r="B85" t="s">
        <v>13</v>
      </c>
      <c r="C85" t="s">
        <v>244</v>
      </c>
      <c r="D85" t="s">
        <v>53</v>
      </c>
      <c r="E85">
        <v>2</v>
      </c>
      <c r="F85">
        <v>0</v>
      </c>
      <c r="G85" t="s">
        <v>26</v>
      </c>
      <c r="H85" t="s">
        <v>42</v>
      </c>
      <c r="I85">
        <v>25300</v>
      </c>
      <c r="J85">
        <v>3000</v>
      </c>
      <c r="K85">
        <v>24</v>
      </c>
      <c r="L85" t="s">
        <v>238</v>
      </c>
      <c r="M85" t="s">
        <v>30</v>
      </c>
    </row>
    <row r="86" spans="1:13" x14ac:dyDescent="0.3">
      <c r="A86">
        <v>38</v>
      </c>
      <c r="B86" t="s">
        <v>13</v>
      </c>
      <c r="C86" t="s">
        <v>20</v>
      </c>
      <c r="D86" t="s">
        <v>43</v>
      </c>
      <c r="E86">
        <v>10</v>
      </c>
      <c r="F86">
        <v>4</v>
      </c>
      <c r="G86" t="s">
        <v>16</v>
      </c>
      <c r="H86" t="s">
        <v>80</v>
      </c>
      <c r="I86">
        <v>70000</v>
      </c>
      <c r="J86">
        <v>0</v>
      </c>
      <c r="K86">
        <v>24</v>
      </c>
      <c r="L86" t="s">
        <v>18</v>
      </c>
      <c r="M86" t="s">
        <v>30</v>
      </c>
    </row>
    <row r="87" spans="1:13" x14ac:dyDescent="0.3">
      <c r="A87">
        <v>42</v>
      </c>
      <c r="B87" t="s">
        <v>13</v>
      </c>
      <c r="C87" t="s">
        <v>20</v>
      </c>
      <c r="D87" t="s">
        <v>27</v>
      </c>
      <c r="E87">
        <v>22</v>
      </c>
      <c r="F87">
        <v>4</v>
      </c>
      <c r="G87" t="s">
        <v>24</v>
      </c>
      <c r="H87" t="s">
        <v>98</v>
      </c>
      <c r="I87">
        <v>70000</v>
      </c>
      <c r="K87">
        <v>24</v>
      </c>
      <c r="L87" t="s">
        <v>18</v>
      </c>
      <c r="M87" t="s">
        <v>30</v>
      </c>
    </row>
    <row r="88" spans="1:13" x14ac:dyDescent="0.3">
      <c r="A88">
        <v>33</v>
      </c>
      <c r="B88" t="s">
        <v>13</v>
      </c>
      <c r="C88" t="s">
        <v>208</v>
      </c>
      <c r="D88" t="s">
        <v>38</v>
      </c>
      <c r="E88">
        <v>7</v>
      </c>
      <c r="G88" t="s">
        <v>16</v>
      </c>
      <c r="I88">
        <v>42000</v>
      </c>
      <c r="K88">
        <v>24</v>
      </c>
      <c r="L88" t="s">
        <v>18</v>
      </c>
      <c r="M88" t="s">
        <v>30</v>
      </c>
    </row>
    <row r="89" spans="1:13" x14ac:dyDescent="0.3">
      <c r="A89">
        <v>40</v>
      </c>
      <c r="B89" t="s">
        <v>13</v>
      </c>
      <c r="C89" t="s">
        <v>20</v>
      </c>
      <c r="D89" t="s">
        <v>35</v>
      </c>
      <c r="E89">
        <v>14</v>
      </c>
      <c r="F89">
        <v>0</v>
      </c>
      <c r="G89" t="s">
        <v>28</v>
      </c>
      <c r="H89" t="s">
        <v>519</v>
      </c>
      <c r="I89">
        <v>57000</v>
      </c>
      <c r="J89">
        <v>3000</v>
      </c>
      <c r="K89">
        <v>24</v>
      </c>
      <c r="L89" t="s">
        <v>18</v>
      </c>
      <c r="M89" t="s">
        <v>23</v>
      </c>
    </row>
    <row r="90" spans="1:13" x14ac:dyDescent="0.3">
      <c r="A90">
        <v>34</v>
      </c>
      <c r="B90" t="s">
        <v>13</v>
      </c>
      <c r="C90" t="s">
        <v>14</v>
      </c>
      <c r="D90" t="s">
        <v>138</v>
      </c>
      <c r="E90">
        <v>14</v>
      </c>
      <c r="F90">
        <v>6</v>
      </c>
      <c r="G90" t="s">
        <v>62</v>
      </c>
      <c r="H90" t="s">
        <v>139</v>
      </c>
      <c r="I90">
        <v>95000</v>
      </c>
      <c r="J90">
        <v>10000</v>
      </c>
      <c r="K90">
        <v>24</v>
      </c>
      <c r="L90" t="s">
        <v>18</v>
      </c>
      <c r="M90" t="s">
        <v>23</v>
      </c>
    </row>
    <row r="91" spans="1:13" x14ac:dyDescent="0.3">
      <c r="A91">
        <v>25</v>
      </c>
      <c r="B91" t="s">
        <v>13</v>
      </c>
      <c r="C91" t="s">
        <v>14</v>
      </c>
      <c r="D91" t="s">
        <v>21</v>
      </c>
      <c r="E91">
        <v>5</v>
      </c>
      <c r="F91">
        <v>0</v>
      </c>
      <c r="G91" t="s">
        <v>16</v>
      </c>
      <c r="H91" t="s">
        <v>32</v>
      </c>
      <c r="I91">
        <v>75000</v>
      </c>
      <c r="J91">
        <v>5000</v>
      </c>
      <c r="K91">
        <v>24</v>
      </c>
      <c r="L91" t="s">
        <v>18</v>
      </c>
      <c r="M91" t="s">
        <v>23</v>
      </c>
    </row>
    <row r="92" spans="1:13" x14ac:dyDescent="0.3">
      <c r="A92">
        <v>33</v>
      </c>
      <c r="B92" t="s">
        <v>13</v>
      </c>
      <c r="C92" t="s">
        <v>20</v>
      </c>
      <c r="D92" t="s">
        <v>21</v>
      </c>
      <c r="E92">
        <v>13</v>
      </c>
      <c r="F92">
        <v>1</v>
      </c>
      <c r="G92" t="s">
        <v>16</v>
      </c>
      <c r="H92" t="s">
        <v>32</v>
      </c>
      <c r="I92">
        <v>110000</v>
      </c>
      <c r="K92">
        <v>24</v>
      </c>
      <c r="L92" t="s">
        <v>18</v>
      </c>
      <c r="M92" t="s">
        <v>23</v>
      </c>
    </row>
    <row r="93" spans="1:13" x14ac:dyDescent="0.3">
      <c r="A93">
        <v>33</v>
      </c>
      <c r="B93" t="s">
        <v>13</v>
      </c>
      <c r="C93" t="s">
        <v>14</v>
      </c>
      <c r="D93" t="s">
        <v>15</v>
      </c>
      <c r="E93">
        <v>13</v>
      </c>
      <c r="F93">
        <v>4</v>
      </c>
      <c r="G93" t="s">
        <v>16</v>
      </c>
      <c r="H93" t="s">
        <v>32</v>
      </c>
      <c r="I93">
        <v>70000</v>
      </c>
      <c r="K93">
        <v>24</v>
      </c>
      <c r="L93" t="s">
        <v>18</v>
      </c>
      <c r="M93" t="s">
        <v>23</v>
      </c>
    </row>
    <row r="94" spans="1:13" x14ac:dyDescent="0.3">
      <c r="A94">
        <v>32</v>
      </c>
      <c r="B94" t="s">
        <v>13</v>
      </c>
      <c r="C94" t="s">
        <v>20</v>
      </c>
      <c r="D94" t="s">
        <v>69</v>
      </c>
      <c r="E94">
        <v>10</v>
      </c>
      <c r="F94">
        <v>5</v>
      </c>
      <c r="G94" t="s">
        <v>28</v>
      </c>
      <c r="H94" t="s">
        <v>55</v>
      </c>
      <c r="I94">
        <v>85000</v>
      </c>
      <c r="K94">
        <v>24</v>
      </c>
      <c r="L94" t="s">
        <v>18</v>
      </c>
      <c r="M94" t="s">
        <v>23</v>
      </c>
    </row>
    <row r="95" spans="1:13" x14ac:dyDescent="0.3">
      <c r="A95">
        <v>27</v>
      </c>
      <c r="B95" t="s">
        <v>13</v>
      </c>
      <c r="C95" t="s">
        <v>20</v>
      </c>
      <c r="D95" t="s">
        <v>15</v>
      </c>
      <c r="E95">
        <v>8</v>
      </c>
      <c r="F95">
        <v>1</v>
      </c>
      <c r="G95" t="s">
        <v>28</v>
      </c>
      <c r="H95" t="s">
        <v>55</v>
      </c>
      <c r="I95">
        <v>63000</v>
      </c>
      <c r="J95">
        <v>101</v>
      </c>
      <c r="K95">
        <v>24</v>
      </c>
      <c r="L95" t="s">
        <v>18</v>
      </c>
      <c r="M95" t="s">
        <v>23</v>
      </c>
    </row>
    <row r="96" spans="1:13" x14ac:dyDescent="0.3">
      <c r="A96">
        <v>31</v>
      </c>
      <c r="B96" t="s">
        <v>13</v>
      </c>
      <c r="C96" t="s">
        <v>20</v>
      </c>
      <c r="D96" t="s">
        <v>25</v>
      </c>
      <c r="E96">
        <v>8</v>
      </c>
      <c r="F96">
        <v>1</v>
      </c>
      <c r="G96" t="s">
        <v>16</v>
      </c>
      <c r="H96" t="s">
        <v>55</v>
      </c>
      <c r="I96">
        <v>70000</v>
      </c>
      <c r="J96">
        <v>101</v>
      </c>
      <c r="K96">
        <v>24</v>
      </c>
      <c r="L96" t="s">
        <v>18</v>
      </c>
      <c r="M96" t="s">
        <v>23</v>
      </c>
    </row>
    <row r="97" spans="1:13" x14ac:dyDescent="0.3">
      <c r="A97">
        <v>30</v>
      </c>
      <c r="B97" t="s">
        <v>13</v>
      </c>
      <c r="C97" t="s">
        <v>20</v>
      </c>
      <c r="D97" t="s">
        <v>21</v>
      </c>
      <c r="E97">
        <v>4</v>
      </c>
      <c r="F97">
        <v>2</v>
      </c>
      <c r="G97" t="s">
        <v>28</v>
      </c>
      <c r="H97" t="s">
        <v>50</v>
      </c>
      <c r="I97">
        <v>58000</v>
      </c>
      <c r="J97">
        <v>0</v>
      </c>
      <c r="K97">
        <v>24</v>
      </c>
      <c r="L97" t="s">
        <v>18</v>
      </c>
      <c r="M97" t="s">
        <v>23</v>
      </c>
    </row>
    <row r="98" spans="1:13" x14ac:dyDescent="0.3">
      <c r="A98">
        <v>24</v>
      </c>
      <c r="B98" t="s">
        <v>13</v>
      </c>
      <c r="C98" t="s">
        <v>20</v>
      </c>
      <c r="D98" t="s">
        <v>53</v>
      </c>
      <c r="E98">
        <v>4</v>
      </c>
      <c r="F98">
        <v>2</v>
      </c>
      <c r="G98" t="s">
        <v>16</v>
      </c>
      <c r="H98" t="s">
        <v>50</v>
      </c>
      <c r="I98">
        <v>73000</v>
      </c>
      <c r="J98">
        <v>73000</v>
      </c>
      <c r="K98">
        <v>24</v>
      </c>
      <c r="L98" t="s">
        <v>18</v>
      </c>
      <c r="M98" t="s">
        <v>23</v>
      </c>
    </row>
    <row r="99" spans="1:13" x14ac:dyDescent="0.3">
      <c r="A99">
        <v>27</v>
      </c>
      <c r="B99" t="s">
        <v>33</v>
      </c>
      <c r="C99" t="s">
        <v>20</v>
      </c>
      <c r="D99" t="s">
        <v>53</v>
      </c>
      <c r="E99">
        <v>5</v>
      </c>
      <c r="F99">
        <v>2</v>
      </c>
      <c r="G99" t="s">
        <v>16</v>
      </c>
      <c r="H99" t="s">
        <v>50</v>
      </c>
      <c r="I99">
        <v>75000</v>
      </c>
      <c r="J99">
        <v>0</v>
      </c>
      <c r="K99">
        <v>24</v>
      </c>
      <c r="L99" t="s">
        <v>18</v>
      </c>
      <c r="M99" t="s">
        <v>23</v>
      </c>
    </row>
    <row r="100" spans="1:13" x14ac:dyDescent="0.3">
      <c r="A100">
        <v>32</v>
      </c>
      <c r="B100" t="s">
        <v>13</v>
      </c>
      <c r="C100" t="s">
        <v>34</v>
      </c>
      <c r="D100" t="s">
        <v>81</v>
      </c>
      <c r="E100">
        <v>4</v>
      </c>
      <c r="F100">
        <v>1.5</v>
      </c>
      <c r="G100" t="s">
        <v>28</v>
      </c>
      <c r="H100" t="s">
        <v>50</v>
      </c>
      <c r="I100">
        <v>37500</v>
      </c>
      <c r="J100">
        <v>0</v>
      </c>
      <c r="K100">
        <v>24</v>
      </c>
      <c r="L100" t="s">
        <v>36</v>
      </c>
      <c r="M100" t="s">
        <v>23</v>
      </c>
    </row>
    <row r="101" spans="1:13" x14ac:dyDescent="0.3">
      <c r="A101">
        <v>38</v>
      </c>
      <c r="B101" t="s">
        <v>13</v>
      </c>
      <c r="C101" t="s">
        <v>265</v>
      </c>
      <c r="D101" t="s">
        <v>43</v>
      </c>
      <c r="E101">
        <v>16</v>
      </c>
      <c r="F101">
        <v>0</v>
      </c>
      <c r="G101" t="s">
        <v>16</v>
      </c>
      <c r="H101" t="s">
        <v>80</v>
      </c>
      <c r="I101">
        <v>85000</v>
      </c>
      <c r="J101">
        <v>0</v>
      </c>
      <c r="K101">
        <v>24</v>
      </c>
      <c r="L101" t="s">
        <v>18</v>
      </c>
      <c r="M101" t="s">
        <v>23</v>
      </c>
    </row>
    <row r="102" spans="1:13" x14ac:dyDescent="0.3">
      <c r="A102">
        <v>32</v>
      </c>
      <c r="B102" t="s">
        <v>33</v>
      </c>
      <c r="C102" t="s">
        <v>361</v>
      </c>
      <c r="D102" t="s">
        <v>15</v>
      </c>
      <c r="E102">
        <v>8</v>
      </c>
      <c r="F102">
        <v>0</v>
      </c>
      <c r="H102" t="s">
        <v>17</v>
      </c>
      <c r="I102">
        <v>60000</v>
      </c>
      <c r="K102">
        <v>24</v>
      </c>
      <c r="L102" t="s">
        <v>18</v>
      </c>
      <c r="M102" t="s">
        <v>23</v>
      </c>
    </row>
    <row r="103" spans="1:13" x14ac:dyDescent="0.3">
      <c r="A103">
        <v>25</v>
      </c>
      <c r="B103" t="s">
        <v>13</v>
      </c>
      <c r="C103" t="s">
        <v>20</v>
      </c>
      <c r="D103" t="s">
        <v>43</v>
      </c>
      <c r="E103">
        <v>8</v>
      </c>
      <c r="F103">
        <v>0</v>
      </c>
      <c r="G103" t="s">
        <v>16</v>
      </c>
      <c r="H103" t="s">
        <v>287</v>
      </c>
      <c r="I103">
        <v>85000</v>
      </c>
      <c r="J103">
        <v>10000</v>
      </c>
      <c r="K103">
        <v>24</v>
      </c>
      <c r="L103" t="s">
        <v>18</v>
      </c>
      <c r="M103" t="s">
        <v>19</v>
      </c>
    </row>
    <row r="104" spans="1:13" x14ac:dyDescent="0.3">
      <c r="A104">
        <v>28</v>
      </c>
      <c r="B104" t="s">
        <v>13</v>
      </c>
      <c r="C104" t="s">
        <v>393</v>
      </c>
      <c r="D104" t="s">
        <v>505</v>
      </c>
      <c r="E104">
        <v>4</v>
      </c>
      <c r="F104">
        <v>0</v>
      </c>
      <c r="G104" t="s">
        <v>28</v>
      </c>
      <c r="H104" t="s">
        <v>394</v>
      </c>
      <c r="I104">
        <v>30000</v>
      </c>
      <c r="J104">
        <v>0</v>
      </c>
      <c r="K104">
        <v>24</v>
      </c>
      <c r="L104" t="s">
        <v>338</v>
      </c>
      <c r="M104" t="s">
        <v>19</v>
      </c>
    </row>
    <row r="105" spans="1:13" x14ac:dyDescent="0.3">
      <c r="A105">
        <v>39</v>
      </c>
      <c r="B105" t="s">
        <v>13</v>
      </c>
      <c r="C105" t="s">
        <v>20</v>
      </c>
      <c r="D105" t="s">
        <v>15</v>
      </c>
      <c r="E105">
        <v>15</v>
      </c>
      <c r="F105">
        <v>4</v>
      </c>
      <c r="G105" t="s">
        <v>24</v>
      </c>
      <c r="H105" t="s">
        <v>32</v>
      </c>
      <c r="I105">
        <v>75000</v>
      </c>
      <c r="J105">
        <v>75000</v>
      </c>
      <c r="K105">
        <v>24</v>
      </c>
      <c r="L105" t="s">
        <v>18</v>
      </c>
      <c r="M105" t="s">
        <v>19</v>
      </c>
    </row>
    <row r="106" spans="1:13" x14ac:dyDescent="0.3">
      <c r="A106">
        <v>28</v>
      </c>
      <c r="B106" t="s">
        <v>13</v>
      </c>
      <c r="C106" t="s">
        <v>20</v>
      </c>
      <c r="D106" t="s">
        <v>25</v>
      </c>
      <c r="E106">
        <v>4</v>
      </c>
      <c r="F106">
        <v>1</v>
      </c>
      <c r="G106" t="s">
        <v>26</v>
      </c>
      <c r="H106" t="s">
        <v>55</v>
      </c>
      <c r="I106">
        <v>54000</v>
      </c>
      <c r="K106">
        <v>24</v>
      </c>
      <c r="L106" t="s">
        <v>18</v>
      </c>
      <c r="M106" t="s">
        <v>19</v>
      </c>
    </row>
    <row r="107" spans="1:13" x14ac:dyDescent="0.3">
      <c r="A107">
        <v>32</v>
      </c>
      <c r="B107" t="s">
        <v>13</v>
      </c>
      <c r="C107" t="s">
        <v>20</v>
      </c>
      <c r="D107" t="s">
        <v>15</v>
      </c>
      <c r="E107">
        <v>10</v>
      </c>
      <c r="F107">
        <v>5</v>
      </c>
      <c r="G107" t="s">
        <v>28</v>
      </c>
      <c r="H107" t="s">
        <v>55</v>
      </c>
      <c r="I107">
        <v>65000</v>
      </c>
      <c r="J107">
        <v>5000</v>
      </c>
      <c r="K107">
        <v>24</v>
      </c>
      <c r="L107" t="s">
        <v>18</v>
      </c>
      <c r="M107" t="s">
        <v>19</v>
      </c>
    </row>
    <row r="108" spans="1:13" x14ac:dyDescent="0.3">
      <c r="A108">
        <v>40</v>
      </c>
      <c r="B108" t="s">
        <v>13</v>
      </c>
      <c r="C108" t="s">
        <v>20</v>
      </c>
      <c r="D108" t="s">
        <v>100</v>
      </c>
      <c r="E108">
        <v>10</v>
      </c>
      <c r="F108">
        <v>7</v>
      </c>
      <c r="G108" t="s">
        <v>101</v>
      </c>
      <c r="H108" t="s">
        <v>55</v>
      </c>
      <c r="I108">
        <v>100000</v>
      </c>
      <c r="K108">
        <v>24</v>
      </c>
      <c r="L108" t="s">
        <v>18</v>
      </c>
      <c r="M108" t="s">
        <v>19</v>
      </c>
    </row>
    <row r="109" spans="1:13" x14ac:dyDescent="0.3">
      <c r="A109">
        <v>26</v>
      </c>
      <c r="B109" t="s">
        <v>13</v>
      </c>
      <c r="C109" t="s">
        <v>14</v>
      </c>
      <c r="D109" t="s">
        <v>43</v>
      </c>
      <c r="E109">
        <v>5</v>
      </c>
      <c r="F109">
        <v>1</v>
      </c>
      <c r="G109" t="s">
        <v>28</v>
      </c>
      <c r="H109" t="s">
        <v>40</v>
      </c>
      <c r="I109">
        <v>65000</v>
      </c>
      <c r="J109">
        <v>0</v>
      </c>
      <c r="K109">
        <v>24</v>
      </c>
      <c r="L109" t="s">
        <v>164</v>
      </c>
      <c r="M109" t="s">
        <v>19</v>
      </c>
    </row>
    <row r="110" spans="1:13" x14ac:dyDescent="0.3">
      <c r="A110">
        <v>30</v>
      </c>
      <c r="B110" t="s">
        <v>13</v>
      </c>
      <c r="C110" t="s">
        <v>20</v>
      </c>
      <c r="D110" t="s">
        <v>53</v>
      </c>
      <c r="E110">
        <v>4.5</v>
      </c>
      <c r="F110">
        <v>2.5</v>
      </c>
      <c r="G110" t="s">
        <v>28</v>
      </c>
      <c r="H110" t="s">
        <v>50</v>
      </c>
      <c r="I110">
        <v>60000</v>
      </c>
      <c r="J110">
        <v>10000</v>
      </c>
      <c r="K110">
        <v>24</v>
      </c>
      <c r="L110" t="s">
        <v>18</v>
      </c>
      <c r="M110" t="s">
        <v>19</v>
      </c>
    </row>
    <row r="111" spans="1:13" x14ac:dyDescent="0.3">
      <c r="A111">
        <v>27</v>
      </c>
      <c r="B111" t="s">
        <v>33</v>
      </c>
      <c r="C111" t="s">
        <v>20</v>
      </c>
      <c r="D111" t="s">
        <v>53</v>
      </c>
      <c r="E111">
        <v>3</v>
      </c>
      <c r="F111">
        <v>3</v>
      </c>
      <c r="G111" t="s">
        <v>28</v>
      </c>
      <c r="H111" t="s">
        <v>50</v>
      </c>
      <c r="I111">
        <v>58000</v>
      </c>
      <c r="J111">
        <v>1000</v>
      </c>
      <c r="K111">
        <v>24</v>
      </c>
      <c r="L111" t="s">
        <v>18</v>
      </c>
      <c r="M111" t="s">
        <v>19</v>
      </c>
    </row>
    <row r="112" spans="1:13" x14ac:dyDescent="0.3">
      <c r="A112">
        <v>27</v>
      </c>
      <c r="B112" t="s">
        <v>13</v>
      </c>
      <c r="C112" t="s">
        <v>20</v>
      </c>
      <c r="D112" t="s">
        <v>53</v>
      </c>
      <c r="E112">
        <v>5</v>
      </c>
      <c r="F112">
        <v>1</v>
      </c>
      <c r="G112" t="s">
        <v>28</v>
      </c>
      <c r="H112" t="s">
        <v>50</v>
      </c>
      <c r="I112">
        <v>55000</v>
      </c>
      <c r="J112">
        <v>0</v>
      </c>
      <c r="K112">
        <v>24</v>
      </c>
      <c r="L112" t="s">
        <v>18</v>
      </c>
      <c r="M112" t="s">
        <v>19</v>
      </c>
    </row>
    <row r="113" spans="1:13" x14ac:dyDescent="0.3">
      <c r="A113">
        <v>32</v>
      </c>
      <c r="B113" t="s">
        <v>13</v>
      </c>
      <c r="C113" t="s">
        <v>20</v>
      </c>
      <c r="D113" t="s">
        <v>52</v>
      </c>
      <c r="E113">
        <v>7</v>
      </c>
      <c r="F113">
        <v>3.5</v>
      </c>
      <c r="G113" t="s">
        <v>16</v>
      </c>
      <c r="H113" t="s">
        <v>80</v>
      </c>
      <c r="I113">
        <v>65000</v>
      </c>
      <c r="J113">
        <v>0</v>
      </c>
      <c r="K113">
        <v>24</v>
      </c>
      <c r="L113" t="s">
        <v>18</v>
      </c>
      <c r="M113" t="s">
        <v>19</v>
      </c>
    </row>
    <row r="114" spans="1:13" x14ac:dyDescent="0.3">
      <c r="A114">
        <v>32</v>
      </c>
      <c r="B114" t="s">
        <v>13</v>
      </c>
      <c r="C114" t="s">
        <v>20</v>
      </c>
      <c r="D114" t="s">
        <v>38</v>
      </c>
      <c r="E114">
        <v>5</v>
      </c>
      <c r="F114">
        <v>10</v>
      </c>
      <c r="G114" t="s">
        <v>16</v>
      </c>
      <c r="H114" t="s">
        <v>32</v>
      </c>
      <c r="I114">
        <v>70000</v>
      </c>
      <c r="J114">
        <v>5000</v>
      </c>
      <c r="K114">
        <v>24</v>
      </c>
      <c r="L114" t="s">
        <v>36</v>
      </c>
      <c r="M114" t="s">
        <v>67</v>
      </c>
    </row>
    <row r="115" spans="1:13" x14ac:dyDescent="0.3">
      <c r="A115">
        <v>25</v>
      </c>
      <c r="B115" t="s">
        <v>13</v>
      </c>
      <c r="C115" t="s">
        <v>84</v>
      </c>
      <c r="D115" t="s">
        <v>81</v>
      </c>
      <c r="E115">
        <v>2</v>
      </c>
      <c r="F115">
        <v>2</v>
      </c>
      <c r="G115" t="s">
        <v>28</v>
      </c>
      <c r="H115" t="s">
        <v>523</v>
      </c>
      <c r="I115">
        <v>51000</v>
      </c>
      <c r="J115">
        <v>3000</v>
      </c>
      <c r="K115">
        <v>24</v>
      </c>
      <c r="L115" t="s">
        <v>18</v>
      </c>
      <c r="M115" t="s">
        <v>67</v>
      </c>
    </row>
    <row r="116" spans="1:13" x14ac:dyDescent="0.3">
      <c r="A116">
        <v>25</v>
      </c>
      <c r="B116" t="s">
        <v>13</v>
      </c>
      <c r="C116" t="s">
        <v>20</v>
      </c>
      <c r="D116" t="s">
        <v>15</v>
      </c>
      <c r="E116">
        <v>5</v>
      </c>
      <c r="F116">
        <v>1</v>
      </c>
      <c r="G116" t="s">
        <v>16</v>
      </c>
      <c r="H116" t="s">
        <v>122</v>
      </c>
      <c r="I116">
        <v>57000</v>
      </c>
      <c r="K116">
        <v>24</v>
      </c>
      <c r="L116" t="s">
        <v>18</v>
      </c>
      <c r="M116" t="s">
        <v>67</v>
      </c>
    </row>
    <row r="117" spans="1:13" x14ac:dyDescent="0.3">
      <c r="A117">
        <v>24</v>
      </c>
      <c r="B117" t="s">
        <v>13</v>
      </c>
      <c r="C117" t="s">
        <v>20</v>
      </c>
      <c r="D117" t="s">
        <v>21</v>
      </c>
      <c r="E117">
        <v>1</v>
      </c>
      <c r="F117">
        <v>1</v>
      </c>
      <c r="G117" t="s">
        <v>348</v>
      </c>
      <c r="H117" t="s">
        <v>50</v>
      </c>
      <c r="I117">
        <v>14400</v>
      </c>
      <c r="K117">
        <v>24</v>
      </c>
      <c r="L117" t="s">
        <v>36</v>
      </c>
      <c r="M117" t="s">
        <v>67</v>
      </c>
    </row>
    <row r="118" spans="1:13" x14ac:dyDescent="0.3">
      <c r="A118">
        <v>26</v>
      </c>
      <c r="B118" t="s">
        <v>33</v>
      </c>
      <c r="C118" t="s">
        <v>20</v>
      </c>
      <c r="D118" t="s">
        <v>21</v>
      </c>
      <c r="E118">
        <v>7</v>
      </c>
      <c r="F118">
        <v>0.5</v>
      </c>
      <c r="G118" t="s">
        <v>16</v>
      </c>
      <c r="I118">
        <v>60000</v>
      </c>
      <c r="K118">
        <v>24</v>
      </c>
      <c r="L118" t="s">
        <v>18</v>
      </c>
      <c r="M118" t="s">
        <v>67</v>
      </c>
    </row>
    <row r="119" spans="1:13" x14ac:dyDescent="0.3">
      <c r="A119">
        <v>28</v>
      </c>
      <c r="B119" t="s">
        <v>13</v>
      </c>
      <c r="C119" t="s">
        <v>20</v>
      </c>
      <c r="D119" t="s">
        <v>25</v>
      </c>
      <c r="E119">
        <v>6</v>
      </c>
      <c r="F119">
        <v>1</v>
      </c>
      <c r="G119" t="s">
        <v>16</v>
      </c>
      <c r="H119" t="s">
        <v>55</v>
      </c>
      <c r="I119">
        <v>66000</v>
      </c>
      <c r="J119">
        <v>0</v>
      </c>
      <c r="K119">
        <v>24</v>
      </c>
      <c r="L119" t="s">
        <v>18</v>
      </c>
    </row>
    <row r="120" spans="1:13" x14ac:dyDescent="0.3">
      <c r="A120">
        <v>31</v>
      </c>
      <c r="B120" t="s">
        <v>13</v>
      </c>
      <c r="C120" t="s">
        <v>20</v>
      </c>
      <c r="D120" t="s">
        <v>15</v>
      </c>
      <c r="E120">
        <v>9</v>
      </c>
      <c r="F120">
        <v>1</v>
      </c>
      <c r="G120" t="s">
        <v>16</v>
      </c>
      <c r="H120" t="s">
        <v>64</v>
      </c>
      <c r="I120">
        <v>60000</v>
      </c>
      <c r="J120">
        <v>6000</v>
      </c>
      <c r="K120">
        <v>25</v>
      </c>
      <c r="L120" t="s">
        <v>18</v>
      </c>
      <c r="M120" s="97" t="s">
        <v>552</v>
      </c>
    </row>
    <row r="121" spans="1:13" x14ac:dyDescent="0.3">
      <c r="A121">
        <v>31</v>
      </c>
      <c r="B121" t="s">
        <v>13</v>
      </c>
      <c r="C121" t="s">
        <v>20</v>
      </c>
      <c r="D121" t="s">
        <v>15</v>
      </c>
      <c r="E121">
        <v>9</v>
      </c>
      <c r="G121" t="s">
        <v>16</v>
      </c>
      <c r="H121" t="s">
        <v>64</v>
      </c>
      <c r="I121">
        <v>60000</v>
      </c>
      <c r="K121">
        <v>25</v>
      </c>
      <c r="L121" t="s">
        <v>18</v>
      </c>
      <c r="M121" s="97" t="s">
        <v>552</v>
      </c>
    </row>
    <row r="122" spans="1:13" x14ac:dyDescent="0.3">
      <c r="A122">
        <v>28</v>
      </c>
      <c r="B122" t="s">
        <v>13</v>
      </c>
      <c r="C122" t="s">
        <v>188</v>
      </c>
      <c r="D122" t="s">
        <v>15</v>
      </c>
      <c r="E122">
        <v>6</v>
      </c>
      <c r="F122">
        <v>0</v>
      </c>
      <c r="G122" t="s">
        <v>28</v>
      </c>
      <c r="H122" t="s">
        <v>37</v>
      </c>
      <c r="I122">
        <v>100000</v>
      </c>
      <c r="J122">
        <v>18000</v>
      </c>
      <c r="K122">
        <v>25</v>
      </c>
      <c r="L122" t="s">
        <v>36</v>
      </c>
      <c r="M122" s="97" t="s">
        <v>552</v>
      </c>
    </row>
    <row r="123" spans="1:13" x14ac:dyDescent="0.3">
      <c r="A123">
        <v>27</v>
      </c>
      <c r="B123" t="s">
        <v>13</v>
      </c>
      <c r="C123" t="s">
        <v>20</v>
      </c>
      <c r="D123" t="s">
        <v>21</v>
      </c>
      <c r="E123">
        <v>4</v>
      </c>
      <c r="F123">
        <v>4</v>
      </c>
      <c r="G123" t="s">
        <v>16</v>
      </c>
      <c r="H123" t="s">
        <v>51</v>
      </c>
      <c r="I123">
        <v>70000</v>
      </c>
      <c r="K123">
        <v>25</v>
      </c>
      <c r="L123" t="s">
        <v>18</v>
      </c>
      <c r="M123" s="97" t="s">
        <v>552</v>
      </c>
    </row>
    <row r="124" spans="1:13" x14ac:dyDescent="0.3">
      <c r="A124">
        <v>32</v>
      </c>
      <c r="B124" t="s">
        <v>13</v>
      </c>
      <c r="C124" t="s">
        <v>199</v>
      </c>
      <c r="D124" t="s">
        <v>21</v>
      </c>
      <c r="E124">
        <v>15</v>
      </c>
      <c r="F124">
        <v>0</v>
      </c>
      <c r="G124" t="s">
        <v>16</v>
      </c>
      <c r="H124" t="s">
        <v>118</v>
      </c>
      <c r="I124">
        <v>90000</v>
      </c>
      <c r="J124">
        <v>0</v>
      </c>
      <c r="K124">
        <v>25</v>
      </c>
      <c r="L124" t="s">
        <v>18</v>
      </c>
      <c r="M124" s="97" t="s">
        <v>552</v>
      </c>
    </row>
    <row r="125" spans="1:13" x14ac:dyDescent="0.3">
      <c r="A125">
        <v>28</v>
      </c>
      <c r="B125" t="s">
        <v>13</v>
      </c>
      <c r="C125" t="s">
        <v>14</v>
      </c>
      <c r="D125" t="s">
        <v>15</v>
      </c>
      <c r="E125">
        <v>5</v>
      </c>
      <c r="F125">
        <v>4</v>
      </c>
      <c r="G125" t="s">
        <v>28</v>
      </c>
      <c r="H125" t="s">
        <v>32</v>
      </c>
      <c r="I125">
        <v>56000</v>
      </c>
      <c r="J125">
        <v>8000</v>
      </c>
      <c r="K125">
        <v>25</v>
      </c>
      <c r="L125" t="s">
        <v>18</v>
      </c>
      <c r="M125" s="97" t="s">
        <v>552</v>
      </c>
    </row>
    <row r="126" spans="1:13" x14ac:dyDescent="0.3">
      <c r="A126">
        <v>33</v>
      </c>
      <c r="B126" t="s">
        <v>33</v>
      </c>
      <c r="C126" t="s">
        <v>14</v>
      </c>
      <c r="D126" t="s">
        <v>15</v>
      </c>
      <c r="E126">
        <v>10</v>
      </c>
      <c r="F126">
        <v>3</v>
      </c>
      <c r="G126" t="s">
        <v>16</v>
      </c>
      <c r="H126" t="s">
        <v>32</v>
      </c>
      <c r="I126">
        <v>47500</v>
      </c>
      <c r="J126">
        <v>0</v>
      </c>
      <c r="K126">
        <v>25</v>
      </c>
      <c r="L126" t="s">
        <v>18</v>
      </c>
      <c r="M126" s="97" t="s">
        <v>552</v>
      </c>
    </row>
    <row r="127" spans="1:13" x14ac:dyDescent="0.3">
      <c r="A127">
        <v>37</v>
      </c>
      <c r="B127" t="s">
        <v>13</v>
      </c>
      <c r="C127" t="s">
        <v>34</v>
      </c>
      <c r="D127" t="s">
        <v>15</v>
      </c>
      <c r="E127">
        <v>15</v>
      </c>
      <c r="F127">
        <v>5</v>
      </c>
      <c r="G127" t="s">
        <v>16</v>
      </c>
      <c r="H127" t="s">
        <v>32</v>
      </c>
      <c r="I127">
        <v>70000</v>
      </c>
      <c r="J127">
        <v>0</v>
      </c>
      <c r="K127">
        <v>25</v>
      </c>
      <c r="L127" t="s">
        <v>18</v>
      </c>
      <c r="M127" s="97" t="s">
        <v>552</v>
      </c>
    </row>
    <row r="128" spans="1:13" x14ac:dyDescent="0.3">
      <c r="A128">
        <v>35</v>
      </c>
      <c r="B128" t="s">
        <v>13</v>
      </c>
      <c r="C128" t="s">
        <v>20</v>
      </c>
      <c r="D128" t="s">
        <v>15</v>
      </c>
      <c r="E128">
        <v>15</v>
      </c>
      <c r="F128">
        <v>4</v>
      </c>
      <c r="G128" t="s">
        <v>16</v>
      </c>
      <c r="H128" t="s">
        <v>32</v>
      </c>
      <c r="I128">
        <v>85000</v>
      </c>
      <c r="J128">
        <v>0</v>
      </c>
      <c r="K128">
        <v>25</v>
      </c>
      <c r="L128" t="s">
        <v>18</v>
      </c>
      <c r="M128" s="97" t="s">
        <v>552</v>
      </c>
    </row>
    <row r="129" spans="1:13" x14ac:dyDescent="0.3">
      <c r="A129">
        <v>32</v>
      </c>
      <c r="B129" t="s">
        <v>13</v>
      </c>
      <c r="C129" t="s">
        <v>20</v>
      </c>
      <c r="D129" t="s">
        <v>25</v>
      </c>
      <c r="E129">
        <v>13</v>
      </c>
      <c r="F129">
        <v>2</v>
      </c>
      <c r="G129" t="s">
        <v>16</v>
      </c>
      <c r="H129" t="s">
        <v>55</v>
      </c>
      <c r="I129">
        <v>70000</v>
      </c>
      <c r="J129">
        <v>1000</v>
      </c>
      <c r="K129">
        <v>25</v>
      </c>
      <c r="L129" t="s">
        <v>18</v>
      </c>
      <c r="M129" s="97" t="s">
        <v>552</v>
      </c>
    </row>
    <row r="130" spans="1:13" x14ac:dyDescent="0.3">
      <c r="A130">
        <v>45</v>
      </c>
      <c r="B130" t="s">
        <v>13</v>
      </c>
      <c r="C130" t="s">
        <v>14</v>
      </c>
      <c r="D130" t="s">
        <v>25</v>
      </c>
      <c r="E130">
        <v>3</v>
      </c>
      <c r="F130">
        <v>0.5</v>
      </c>
      <c r="G130" t="s">
        <v>16</v>
      </c>
      <c r="H130" t="s">
        <v>55</v>
      </c>
      <c r="I130">
        <v>70000</v>
      </c>
      <c r="K130">
        <v>25</v>
      </c>
      <c r="L130" t="s">
        <v>164</v>
      </c>
      <c r="M130" s="97" t="s">
        <v>552</v>
      </c>
    </row>
    <row r="131" spans="1:13" x14ac:dyDescent="0.3">
      <c r="A131">
        <v>32</v>
      </c>
      <c r="B131" t="s">
        <v>13</v>
      </c>
      <c r="C131" t="s">
        <v>14</v>
      </c>
      <c r="D131" t="s">
        <v>25</v>
      </c>
      <c r="E131">
        <v>10</v>
      </c>
      <c r="F131">
        <v>4</v>
      </c>
      <c r="G131" t="s">
        <v>24</v>
      </c>
      <c r="H131" t="s">
        <v>55</v>
      </c>
      <c r="I131">
        <v>80000</v>
      </c>
      <c r="J131">
        <v>85000</v>
      </c>
      <c r="K131">
        <v>25</v>
      </c>
      <c r="L131" t="s">
        <v>18</v>
      </c>
      <c r="M131" s="97" t="s">
        <v>552</v>
      </c>
    </row>
    <row r="132" spans="1:13" x14ac:dyDescent="0.3">
      <c r="A132">
        <v>35</v>
      </c>
      <c r="B132" t="s">
        <v>13</v>
      </c>
      <c r="C132" t="s">
        <v>123</v>
      </c>
      <c r="D132" t="s">
        <v>21</v>
      </c>
      <c r="E132">
        <v>10</v>
      </c>
      <c r="F132">
        <v>4</v>
      </c>
      <c r="G132" t="s">
        <v>24</v>
      </c>
      <c r="H132" t="s">
        <v>400</v>
      </c>
      <c r="I132">
        <v>65000</v>
      </c>
      <c r="J132">
        <v>0</v>
      </c>
      <c r="K132">
        <v>25</v>
      </c>
      <c r="L132" t="s">
        <v>18</v>
      </c>
      <c r="M132" s="97" t="s">
        <v>552</v>
      </c>
    </row>
    <row r="133" spans="1:13" x14ac:dyDescent="0.3">
      <c r="A133">
        <v>28</v>
      </c>
      <c r="B133" t="s">
        <v>13</v>
      </c>
      <c r="C133" t="s">
        <v>20</v>
      </c>
      <c r="D133" t="s">
        <v>21</v>
      </c>
      <c r="E133">
        <v>9</v>
      </c>
      <c r="F133">
        <v>2</v>
      </c>
      <c r="G133" t="s">
        <v>16</v>
      </c>
      <c r="H133" t="s">
        <v>31</v>
      </c>
      <c r="I133">
        <v>60000</v>
      </c>
      <c r="J133">
        <v>1000</v>
      </c>
      <c r="K133">
        <v>25</v>
      </c>
      <c r="L133" t="s">
        <v>18</v>
      </c>
      <c r="M133" s="97" t="s">
        <v>552</v>
      </c>
    </row>
    <row r="134" spans="1:13" x14ac:dyDescent="0.3">
      <c r="A134">
        <v>34</v>
      </c>
      <c r="B134" t="s">
        <v>13</v>
      </c>
      <c r="C134" t="s">
        <v>188</v>
      </c>
      <c r="D134" t="s">
        <v>15</v>
      </c>
      <c r="E134">
        <v>7</v>
      </c>
      <c r="F134">
        <v>2</v>
      </c>
      <c r="G134" t="s">
        <v>16</v>
      </c>
      <c r="H134" t="s">
        <v>31</v>
      </c>
      <c r="I134">
        <v>108500</v>
      </c>
      <c r="K134">
        <v>25</v>
      </c>
      <c r="L134" t="s">
        <v>18</v>
      </c>
      <c r="M134" s="97" t="s">
        <v>552</v>
      </c>
    </row>
    <row r="135" spans="1:13" x14ac:dyDescent="0.3">
      <c r="A135">
        <v>38</v>
      </c>
      <c r="B135" t="s">
        <v>13</v>
      </c>
      <c r="C135" t="s">
        <v>20</v>
      </c>
      <c r="D135" t="s">
        <v>21</v>
      </c>
      <c r="E135">
        <v>15</v>
      </c>
      <c r="F135">
        <v>1</v>
      </c>
      <c r="G135" t="s">
        <v>28</v>
      </c>
      <c r="H135" t="s">
        <v>31</v>
      </c>
      <c r="I135">
        <v>40700</v>
      </c>
      <c r="K135">
        <v>25</v>
      </c>
      <c r="L135" t="s">
        <v>18</v>
      </c>
      <c r="M135" s="97" t="s">
        <v>552</v>
      </c>
    </row>
    <row r="136" spans="1:13" x14ac:dyDescent="0.3">
      <c r="A136">
        <v>30</v>
      </c>
      <c r="B136" t="s">
        <v>13</v>
      </c>
      <c r="C136" t="s">
        <v>34</v>
      </c>
      <c r="D136" t="s">
        <v>53</v>
      </c>
      <c r="E136">
        <v>5</v>
      </c>
      <c r="F136">
        <v>4</v>
      </c>
      <c r="G136" t="s">
        <v>62</v>
      </c>
      <c r="H136" t="s">
        <v>50</v>
      </c>
      <c r="I136">
        <v>80000</v>
      </c>
      <c r="J136">
        <v>90000</v>
      </c>
      <c r="K136">
        <v>25</v>
      </c>
      <c r="L136" t="s">
        <v>18</v>
      </c>
      <c r="M136" s="97" t="s">
        <v>552</v>
      </c>
    </row>
    <row r="137" spans="1:13" x14ac:dyDescent="0.3">
      <c r="A137">
        <v>26</v>
      </c>
      <c r="B137" t="s">
        <v>33</v>
      </c>
      <c r="C137" t="s">
        <v>20</v>
      </c>
      <c r="D137" t="s">
        <v>53</v>
      </c>
      <c r="E137">
        <v>2</v>
      </c>
      <c r="F137">
        <v>1</v>
      </c>
      <c r="G137" t="s">
        <v>26</v>
      </c>
      <c r="H137" t="s">
        <v>50</v>
      </c>
      <c r="I137">
        <v>47000</v>
      </c>
      <c r="J137">
        <v>0</v>
      </c>
      <c r="K137">
        <v>25</v>
      </c>
      <c r="L137" t="s">
        <v>18</v>
      </c>
      <c r="M137" s="97" t="s">
        <v>552</v>
      </c>
    </row>
    <row r="138" spans="1:13" x14ac:dyDescent="0.3">
      <c r="A138">
        <v>25</v>
      </c>
      <c r="B138" t="s">
        <v>33</v>
      </c>
      <c r="C138" t="s">
        <v>199</v>
      </c>
      <c r="D138" t="s">
        <v>53</v>
      </c>
      <c r="E138">
        <v>1.5</v>
      </c>
      <c r="F138">
        <v>0</v>
      </c>
      <c r="G138" t="s">
        <v>28</v>
      </c>
      <c r="H138" t="s">
        <v>50</v>
      </c>
      <c r="I138">
        <v>49850</v>
      </c>
      <c r="J138">
        <v>500</v>
      </c>
      <c r="K138">
        <v>25</v>
      </c>
      <c r="L138" t="s">
        <v>18</v>
      </c>
      <c r="M138" s="97" t="s">
        <v>552</v>
      </c>
    </row>
    <row r="139" spans="1:13" x14ac:dyDescent="0.3">
      <c r="A139">
        <v>36</v>
      </c>
      <c r="B139" t="s">
        <v>13</v>
      </c>
      <c r="C139" t="s">
        <v>188</v>
      </c>
      <c r="D139" t="s">
        <v>53</v>
      </c>
      <c r="E139">
        <v>5</v>
      </c>
      <c r="F139">
        <v>0.5</v>
      </c>
      <c r="G139" t="s">
        <v>16</v>
      </c>
      <c r="H139" t="s">
        <v>50</v>
      </c>
      <c r="I139">
        <v>106000</v>
      </c>
      <c r="J139">
        <v>106000</v>
      </c>
      <c r="K139">
        <v>25</v>
      </c>
      <c r="L139" t="s">
        <v>18</v>
      </c>
      <c r="M139" s="97" t="s">
        <v>552</v>
      </c>
    </row>
    <row r="140" spans="1:13" x14ac:dyDescent="0.3">
      <c r="A140">
        <v>30</v>
      </c>
      <c r="B140" t="s">
        <v>13</v>
      </c>
      <c r="C140" t="s">
        <v>20</v>
      </c>
      <c r="D140" t="s">
        <v>21</v>
      </c>
      <c r="E140">
        <v>7</v>
      </c>
      <c r="F140">
        <v>2</v>
      </c>
      <c r="G140" t="s">
        <v>16</v>
      </c>
      <c r="H140" t="s">
        <v>22</v>
      </c>
      <c r="I140">
        <v>72000</v>
      </c>
      <c r="J140">
        <v>0</v>
      </c>
      <c r="K140">
        <v>25</v>
      </c>
      <c r="L140" t="s">
        <v>18</v>
      </c>
      <c r="M140" s="97" t="s">
        <v>552</v>
      </c>
    </row>
    <row r="141" spans="1:13" x14ac:dyDescent="0.3">
      <c r="A141">
        <v>31</v>
      </c>
      <c r="B141" t="s">
        <v>13</v>
      </c>
      <c r="C141" t="s">
        <v>20</v>
      </c>
      <c r="D141" t="s">
        <v>21</v>
      </c>
      <c r="E141">
        <v>4</v>
      </c>
      <c r="F141">
        <v>2</v>
      </c>
      <c r="G141" t="s">
        <v>28</v>
      </c>
      <c r="H141" t="s">
        <v>22</v>
      </c>
      <c r="I141">
        <v>50000</v>
      </c>
      <c r="J141">
        <v>0</v>
      </c>
      <c r="K141">
        <v>25</v>
      </c>
      <c r="L141" t="s">
        <v>18</v>
      </c>
      <c r="M141" s="97" t="s">
        <v>552</v>
      </c>
    </row>
    <row r="142" spans="1:13" x14ac:dyDescent="0.3">
      <c r="A142">
        <v>33</v>
      </c>
      <c r="B142" t="s">
        <v>13</v>
      </c>
      <c r="C142" t="s">
        <v>20</v>
      </c>
      <c r="D142" t="s">
        <v>15</v>
      </c>
      <c r="E142">
        <v>10</v>
      </c>
      <c r="G142" t="s">
        <v>16</v>
      </c>
      <c r="H142" t="s">
        <v>185</v>
      </c>
      <c r="I142">
        <v>68000</v>
      </c>
      <c r="K142">
        <v>25</v>
      </c>
      <c r="L142" t="s">
        <v>18</v>
      </c>
      <c r="M142" s="97" t="s">
        <v>552</v>
      </c>
    </row>
    <row r="143" spans="1:13" x14ac:dyDescent="0.3">
      <c r="A143">
        <v>37</v>
      </c>
      <c r="B143" t="s">
        <v>13</v>
      </c>
      <c r="C143" t="s">
        <v>14</v>
      </c>
      <c r="D143" t="s">
        <v>27</v>
      </c>
      <c r="E143">
        <v>13</v>
      </c>
      <c r="F143">
        <v>2</v>
      </c>
      <c r="G143" t="s">
        <v>24</v>
      </c>
      <c r="I143">
        <v>70000</v>
      </c>
      <c r="K143">
        <v>25</v>
      </c>
      <c r="L143" t="s">
        <v>18</v>
      </c>
      <c r="M143" s="97" t="s">
        <v>552</v>
      </c>
    </row>
    <row r="144" spans="1:13" x14ac:dyDescent="0.3">
      <c r="A144">
        <v>30</v>
      </c>
      <c r="B144" t="s">
        <v>13</v>
      </c>
      <c r="C144" t="s">
        <v>20</v>
      </c>
      <c r="D144" t="s">
        <v>15</v>
      </c>
      <c r="E144">
        <v>9</v>
      </c>
      <c r="F144">
        <v>9</v>
      </c>
      <c r="G144" t="s">
        <v>24</v>
      </c>
      <c r="I144">
        <v>90000</v>
      </c>
      <c r="J144">
        <v>0</v>
      </c>
      <c r="K144">
        <v>25</v>
      </c>
      <c r="L144" t="s">
        <v>18</v>
      </c>
      <c r="M144" s="97" t="s">
        <v>552</v>
      </c>
    </row>
    <row r="145" spans="1:13" x14ac:dyDescent="0.3">
      <c r="A145">
        <v>38</v>
      </c>
      <c r="B145" t="s">
        <v>13</v>
      </c>
      <c r="C145" t="s">
        <v>167</v>
      </c>
      <c r="D145" t="s">
        <v>168</v>
      </c>
      <c r="E145">
        <v>20</v>
      </c>
      <c r="F145">
        <v>2</v>
      </c>
      <c r="G145" t="s">
        <v>16</v>
      </c>
      <c r="I145">
        <v>44000</v>
      </c>
      <c r="K145">
        <v>25</v>
      </c>
      <c r="L145" t="s">
        <v>36</v>
      </c>
      <c r="M145" s="97" t="s">
        <v>552</v>
      </c>
    </row>
    <row r="146" spans="1:13" x14ac:dyDescent="0.3">
      <c r="A146">
        <v>43</v>
      </c>
      <c r="B146" t="s">
        <v>13</v>
      </c>
      <c r="C146" t="s">
        <v>14</v>
      </c>
      <c r="D146" t="s">
        <v>41</v>
      </c>
      <c r="E146">
        <v>18</v>
      </c>
      <c r="F146">
        <v>9</v>
      </c>
      <c r="G146" t="s">
        <v>24</v>
      </c>
      <c r="H146" t="s">
        <v>58</v>
      </c>
      <c r="I146">
        <v>115000</v>
      </c>
      <c r="J146">
        <v>6000</v>
      </c>
      <c r="K146">
        <v>25</v>
      </c>
      <c r="L146" t="s">
        <v>18</v>
      </c>
      <c r="M146" t="s">
        <v>30</v>
      </c>
    </row>
    <row r="147" spans="1:13" x14ac:dyDescent="0.3">
      <c r="A147">
        <v>26</v>
      </c>
      <c r="B147" t="s">
        <v>33</v>
      </c>
      <c r="C147" t="s">
        <v>208</v>
      </c>
      <c r="D147" t="s">
        <v>15</v>
      </c>
      <c r="E147">
        <v>4</v>
      </c>
      <c r="F147">
        <v>1</v>
      </c>
      <c r="G147" t="s">
        <v>28</v>
      </c>
      <c r="H147" t="s">
        <v>64</v>
      </c>
      <c r="I147">
        <v>64000</v>
      </c>
      <c r="J147">
        <v>0</v>
      </c>
      <c r="K147">
        <v>25</v>
      </c>
      <c r="L147" t="s">
        <v>371</v>
      </c>
      <c r="M147" t="s">
        <v>30</v>
      </c>
    </row>
    <row r="148" spans="1:13" x14ac:dyDescent="0.3">
      <c r="A148">
        <v>35</v>
      </c>
      <c r="B148" t="s">
        <v>13</v>
      </c>
      <c r="C148" t="s">
        <v>20</v>
      </c>
      <c r="D148" t="s">
        <v>15</v>
      </c>
      <c r="E148">
        <v>12</v>
      </c>
      <c r="F148">
        <v>1</v>
      </c>
      <c r="G148" t="s">
        <v>16</v>
      </c>
      <c r="H148" t="s">
        <v>64</v>
      </c>
      <c r="I148">
        <v>70000</v>
      </c>
      <c r="J148">
        <v>22000</v>
      </c>
      <c r="K148">
        <v>25</v>
      </c>
      <c r="L148" t="s">
        <v>18</v>
      </c>
      <c r="M148" t="s">
        <v>30</v>
      </c>
    </row>
    <row r="149" spans="1:13" x14ac:dyDescent="0.3">
      <c r="A149">
        <v>32</v>
      </c>
      <c r="B149" t="s">
        <v>13</v>
      </c>
      <c r="C149" t="s">
        <v>208</v>
      </c>
      <c r="D149" t="s">
        <v>15</v>
      </c>
      <c r="E149">
        <v>8</v>
      </c>
      <c r="G149" t="s">
        <v>16</v>
      </c>
      <c r="H149" t="s">
        <v>111</v>
      </c>
      <c r="I149">
        <v>36000</v>
      </c>
      <c r="J149">
        <v>3600</v>
      </c>
      <c r="K149">
        <v>25</v>
      </c>
      <c r="L149" t="s">
        <v>209</v>
      </c>
      <c r="M149" t="s">
        <v>30</v>
      </c>
    </row>
    <row r="150" spans="1:13" x14ac:dyDescent="0.3">
      <c r="A150">
        <v>36</v>
      </c>
      <c r="B150" t="s">
        <v>13</v>
      </c>
      <c r="C150" t="s">
        <v>188</v>
      </c>
      <c r="D150" t="s">
        <v>21</v>
      </c>
      <c r="E150">
        <v>15</v>
      </c>
      <c r="F150">
        <v>2</v>
      </c>
      <c r="G150" t="s">
        <v>16</v>
      </c>
      <c r="H150" t="s">
        <v>37</v>
      </c>
      <c r="I150">
        <v>172000</v>
      </c>
      <c r="J150">
        <v>100000</v>
      </c>
      <c r="K150">
        <v>25</v>
      </c>
      <c r="L150" t="s">
        <v>18</v>
      </c>
      <c r="M150" t="s">
        <v>30</v>
      </c>
    </row>
    <row r="151" spans="1:13" x14ac:dyDescent="0.3">
      <c r="A151">
        <v>32</v>
      </c>
      <c r="B151" t="s">
        <v>13</v>
      </c>
      <c r="C151" t="s">
        <v>97</v>
      </c>
      <c r="D151" t="s">
        <v>359</v>
      </c>
      <c r="E151">
        <v>10</v>
      </c>
      <c r="F151">
        <v>10</v>
      </c>
      <c r="G151" t="s">
        <v>24</v>
      </c>
      <c r="H151" t="s">
        <v>32</v>
      </c>
      <c r="I151">
        <v>80000</v>
      </c>
      <c r="J151">
        <v>40000</v>
      </c>
      <c r="K151">
        <v>25</v>
      </c>
      <c r="L151" t="s">
        <v>36</v>
      </c>
      <c r="M151" t="s">
        <v>30</v>
      </c>
    </row>
    <row r="152" spans="1:13" x14ac:dyDescent="0.3">
      <c r="A152">
        <v>33</v>
      </c>
      <c r="B152" t="s">
        <v>13</v>
      </c>
      <c r="C152" t="s">
        <v>20</v>
      </c>
      <c r="D152" t="s">
        <v>15</v>
      </c>
      <c r="F152">
        <v>10</v>
      </c>
      <c r="G152" t="s">
        <v>16</v>
      </c>
      <c r="H152" t="s">
        <v>32</v>
      </c>
      <c r="I152">
        <v>90000</v>
      </c>
      <c r="J152">
        <v>9000</v>
      </c>
      <c r="K152">
        <v>25</v>
      </c>
      <c r="L152" t="s">
        <v>18</v>
      </c>
      <c r="M152" t="s">
        <v>30</v>
      </c>
    </row>
    <row r="153" spans="1:13" x14ac:dyDescent="0.3">
      <c r="A153">
        <v>27</v>
      </c>
      <c r="B153" t="s">
        <v>13</v>
      </c>
      <c r="C153" t="s">
        <v>20</v>
      </c>
      <c r="D153" t="s">
        <v>21</v>
      </c>
      <c r="E153">
        <v>8</v>
      </c>
      <c r="F153">
        <v>3</v>
      </c>
      <c r="G153" t="s">
        <v>16</v>
      </c>
      <c r="H153" t="s">
        <v>31</v>
      </c>
      <c r="I153">
        <v>60000</v>
      </c>
      <c r="K153">
        <v>25</v>
      </c>
      <c r="L153" t="s">
        <v>18</v>
      </c>
      <c r="M153" t="s">
        <v>30</v>
      </c>
    </row>
    <row r="154" spans="1:13" x14ac:dyDescent="0.3">
      <c r="A154">
        <v>29</v>
      </c>
      <c r="B154" t="s">
        <v>33</v>
      </c>
      <c r="C154" t="s">
        <v>20</v>
      </c>
      <c r="D154" t="s">
        <v>53</v>
      </c>
      <c r="E154">
        <v>0</v>
      </c>
      <c r="F154">
        <v>0</v>
      </c>
      <c r="G154" t="s">
        <v>255</v>
      </c>
      <c r="H154" t="s">
        <v>50</v>
      </c>
      <c r="I154">
        <v>20000</v>
      </c>
      <c r="J154">
        <v>20000</v>
      </c>
      <c r="K154">
        <v>25</v>
      </c>
      <c r="L154" t="s">
        <v>18</v>
      </c>
      <c r="M154" t="s">
        <v>30</v>
      </c>
    </row>
    <row r="155" spans="1:13" x14ac:dyDescent="0.3">
      <c r="A155">
        <v>29</v>
      </c>
      <c r="B155" t="s">
        <v>13</v>
      </c>
      <c r="C155" t="s">
        <v>351</v>
      </c>
      <c r="D155" t="s">
        <v>53</v>
      </c>
      <c r="E155">
        <v>5</v>
      </c>
      <c r="G155" t="s">
        <v>24</v>
      </c>
      <c r="H155" t="s">
        <v>50</v>
      </c>
      <c r="I155">
        <v>115000</v>
      </c>
      <c r="J155">
        <v>13000</v>
      </c>
      <c r="K155">
        <v>25</v>
      </c>
      <c r="L155" t="s">
        <v>18</v>
      </c>
      <c r="M155" t="s">
        <v>30</v>
      </c>
    </row>
    <row r="156" spans="1:13" x14ac:dyDescent="0.3">
      <c r="A156">
        <v>27</v>
      </c>
      <c r="B156" t="s">
        <v>13</v>
      </c>
      <c r="C156" t="s">
        <v>20</v>
      </c>
      <c r="D156" t="s">
        <v>35</v>
      </c>
      <c r="E156">
        <v>6</v>
      </c>
      <c r="F156">
        <v>3</v>
      </c>
      <c r="G156" t="s">
        <v>28</v>
      </c>
      <c r="H156" t="s">
        <v>50</v>
      </c>
      <c r="I156">
        <v>74000</v>
      </c>
      <c r="J156">
        <v>21000</v>
      </c>
      <c r="K156">
        <v>25</v>
      </c>
      <c r="L156" t="s">
        <v>18</v>
      </c>
      <c r="M156" t="s">
        <v>30</v>
      </c>
    </row>
    <row r="157" spans="1:13" x14ac:dyDescent="0.3">
      <c r="A157">
        <v>30</v>
      </c>
      <c r="B157" t="s">
        <v>13</v>
      </c>
      <c r="C157" t="s">
        <v>210</v>
      </c>
      <c r="D157" t="s">
        <v>53</v>
      </c>
      <c r="E157">
        <v>2</v>
      </c>
      <c r="F157">
        <v>0</v>
      </c>
      <c r="G157" t="s">
        <v>28</v>
      </c>
      <c r="H157" t="s">
        <v>50</v>
      </c>
      <c r="I157">
        <v>48000</v>
      </c>
      <c r="J157">
        <v>10000</v>
      </c>
      <c r="K157">
        <v>25</v>
      </c>
      <c r="L157" t="s">
        <v>18</v>
      </c>
      <c r="M157" t="s">
        <v>30</v>
      </c>
    </row>
    <row r="158" spans="1:13" x14ac:dyDescent="0.3">
      <c r="A158">
        <v>27</v>
      </c>
      <c r="B158" t="s">
        <v>13</v>
      </c>
      <c r="C158" t="s">
        <v>199</v>
      </c>
      <c r="D158" t="s">
        <v>81</v>
      </c>
      <c r="E158">
        <v>4</v>
      </c>
      <c r="F158">
        <v>1</v>
      </c>
      <c r="G158" t="s">
        <v>28</v>
      </c>
      <c r="H158" t="s">
        <v>50</v>
      </c>
      <c r="I158">
        <v>62000</v>
      </c>
      <c r="J158">
        <v>62000</v>
      </c>
      <c r="K158">
        <v>25</v>
      </c>
      <c r="L158" t="s">
        <v>18</v>
      </c>
      <c r="M158" t="s">
        <v>30</v>
      </c>
    </row>
    <row r="159" spans="1:13" x14ac:dyDescent="0.3">
      <c r="A159">
        <v>34</v>
      </c>
      <c r="B159" t="s">
        <v>13</v>
      </c>
      <c r="C159" t="s">
        <v>311</v>
      </c>
      <c r="D159" t="s">
        <v>53</v>
      </c>
      <c r="E159">
        <v>11</v>
      </c>
      <c r="F159">
        <v>0</v>
      </c>
      <c r="G159" t="s">
        <v>16</v>
      </c>
      <c r="H159" t="s">
        <v>50</v>
      </c>
      <c r="I159">
        <v>80000</v>
      </c>
      <c r="J159">
        <v>10000</v>
      </c>
      <c r="K159">
        <v>25</v>
      </c>
      <c r="L159" t="s">
        <v>312</v>
      </c>
      <c r="M159" t="s">
        <v>30</v>
      </c>
    </row>
    <row r="160" spans="1:13" x14ac:dyDescent="0.3">
      <c r="A160">
        <v>32</v>
      </c>
      <c r="B160" t="s">
        <v>13</v>
      </c>
      <c r="C160" t="s">
        <v>368</v>
      </c>
      <c r="D160" t="s">
        <v>53</v>
      </c>
      <c r="E160">
        <v>3</v>
      </c>
      <c r="F160">
        <v>0</v>
      </c>
      <c r="G160" t="s">
        <v>16</v>
      </c>
      <c r="H160" t="s">
        <v>50</v>
      </c>
      <c r="I160">
        <v>62000</v>
      </c>
      <c r="J160">
        <v>3000</v>
      </c>
      <c r="K160">
        <v>25</v>
      </c>
      <c r="L160" t="s">
        <v>18</v>
      </c>
      <c r="M160" t="s">
        <v>30</v>
      </c>
    </row>
    <row r="161" spans="1:13" x14ac:dyDescent="0.3">
      <c r="A161">
        <v>30</v>
      </c>
      <c r="B161" t="s">
        <v>13</v>
      </c>
      <c r="C161" t="s">
        <v>279</v>
      </c>
      <c r="D161" t="s">
        <v>53</v>
      </c>
      <c r="E161">
        <v>5</v>
      </c>
      <c r="F161">
        <v>0</v>
      </c>
      <c r="G161" t="s">
        <v>16</v>
      </c>
      <c r="H161" t="s">
        <v>124</v>
      </c>
      <c r="I161">
        <v>40000</v>
      </c>
      <c r="J161">
        <v>0</v>
      </c>
      <c r="K161">
        <v>25</v>
      </c>
      <c r="L161" t="s">
        <v>338</v>
      </c>
      <c r="M161" t="s">
        <v>30</v>
      </c>
    </row>
    <row r="162" spans="1:13" x14ac:dyDescent="0.3">
      <c r="A162">
        <v>43</v>
      </c>
      <c r="B162" t="s">
        <v>13</v>
      </c>
      <c r="C162" t="s">
        <v>20</v>
      </c>
      <c r="D162" t="s">
        <v>15</v>
      </c>
      <c r="E162">
        <v>20</v>
      </c>
      <c r="F162">
        <v>3</v>
      </c>
      <c r="G162" t="s">
        <v>28</v>
      </c>
      <c r="H162" t="s">
        <v>22</v>
      </c>
      <c r="I162">
        <v>70000</v>
      </c>
      <c r="J162">
        <v>20000</v>
      </c>
      <c r="K162">
        <v>25</v>
      </c>
      <c r="L162" t="s">
        <v>18</v>
      </c>
      <c r="M162" t="s">
        <v>30</v>
      </c>
    </row>
    <row r="163" spans="1:13" x14ac:dyDescent="0.3">
      <c r="A163">
        <v>30</v>
      </c>
      <c r="B163" t="s">
        <v>13</v>
      </c>
      <c r="C163" t="s">
        <v>20</v>
      </c>
      <c r="D163" t="s">
        <v>21</v>
      </c>
      <c r="E163">
        <v>8</v>
      </c>
      <c r="F163">
        <v>2.5</v>
      </c>
      <c r="G163" t="s">
        <v>16</v>
      </c>
      <c r="H163" t="s">
        <v>71</v>
      </c>
      <c r="I163">
        <v>80000</v>
      </c>
      <c r="K163">
        <v>25</v>
      </c>
      <c r="L163" t="s">
        <v>18</v>
      </c>
      <c r="M163" t="s">
        <v>30</v>
      </c>
    </row>
    <row r="164" spans="1:13" x14ac:dyDescent="0.3">
      <c r="A164">
        <v>33</v>
      </c>
      <c r="B164" t="s">
        <v>13</v>
      </c>
      <c r="C164" t="s">
        <v>187</v>
      </c>
      <c r="D164" t="s">
        <v>53</v>
      </c>
      <c r="E164">
        <v>2</v>
      </c>
      <c r="F164">
        <v>2</v>
      </c>
      <c r="G164" t="s">
        <v>24</v>
      </c>
      <c r="H164" t="s">
        <v>284</v>
      </c>
      <c r="I164">
        <v>70000</v>
      </c>
      <c r="J164">
        <v>6000</v>
      </c>
      <c r="K164">
        <v>25</v>
      </c>
      <c r="L164" t="s">
        <v>18</v>
      </c>
      <c r="M164" t="s">
        <v>30</v>
      </c>
    </row>
    <row r="165" spans="1:13" x14ac:dyDescent="0.3">
      <c r="A165">
        <v>29</v>
      </c>
      <c r="B165" t="s">
        <v>13</v>
      </c>
      <c r="C165" t="s">
        <v>65</v>
      </c>
      <c r="D165" t="s">
        <v>15</v>
      </c>
      <c r="E165">
        <v>9</v>
      </c>
      <c r="F165">
        <v>0</v>
      </c>
      <c r="G165" t="s">
        <v>16</v>
      </c>
      <c r="H165" t="s">
        <v>17</v>
      </c>
      <c r="I165">
        <v>113000</v>
      </c>
      <c r="J165">
        <v>170000</v>
      </c>
      <c r="K165">
        <v>25</v>
      </c>
      <c r="L165" t="s">
        <v>18</v>
      </c>
      <c r="M165" t="s">
        <v>30</v>
      </c>
    </row>
    <row r="166" spans="1:13" x14ac:dyDescent="0.3">
      <c r="A166">
        <v>30</v>
      </c>
      <c r="B166" t="s">
        <v>13</v>
      </c>
      <c r="C166" t="s">
        <v>20</v>
      </c>
      <c r="D166" t="s">
        <v>41</v>
      </c>
      <c r="E166">
        <v>7</v>
      </c>
      <c r="F166">
        <v>5</v>
      </c>
      <c r="G166" t="s">
        <v>62</v>
      </c>
      <c r="I166">
        <v>150000</v>
      </c>
      <c r="K166">
        <v>25</v>
      </c>
      <c r="L166" t="s">
        <v>18</v>
      </c>
      <c r="M166" t="s">
        <v>30</v>
      </c>
    </row>
    <row r="167" spans="1:13" x14ac:dyDescent="0.3">
      <c r="A167">
        <v>39</v>
      </c>
      <c r="B167" t="s">
        <v>13</v>
      </c>
      <c r="C167" t="s">
        <v>20</v>
      </c>
      <c r="D167" t="s">
        <v>41</v>
      </c>
      <c r="E167">
        <v>10</v>
      </c>
      <c r="F167">
        <v>5</v>
      </c>
      <c r="G167" t="s">
        <v>24</v>
      </c>
      <c r="I167">
        <v>120000</v>
      </c>
      <c r="J167">
        <v>200000</v>
      </c>
      <c r="K167">
        <v>25</v>
      </c>
      <c r="L167" t="s">
        <v>18</v>
      </c>
      <c r="M167" t="s">
        <v>30</v>
      </c>
    </row>
    <row r="168" spans="1:13" x14ac:dyDescent="0.3">
      <c r="A168">
        <v>38</v>
      </c>
      <c r="B168" t="s">
        <v>13</v>
      </c>
      <c r="C168" t="s">
        <v>20</v>
      </c>
      <c r="D168" t="s">
        <v>73</v>
      </c>
      <c r="E168">
        <v>17</v>
      </c>
      <c r="F168">
        <v>3</v>
      </c>
      <c r="G168" t="s">
        <v>28</v>
      </c>
      <c r="I168">
        <v>68500</v>
      </c>
      <c r="J168">
        <v>30000</v>
      </c>
      <c r="K168">
        <v>25</v>
      </c>
      <c r="L168" t="s">
        <v>18</v>
      </c>
      <c r="M168" t="s">
        <v>30</v>
      </c>
    </row>
    <row r="169" spans="1:13" x14ac:dyDescent="0.3">
      <c r="A169">
        <v>37</v>
      </c>
      <c r="B169" t="s">
        <v>13</v>
      </c>
      <c r="C169" t="s">
        <v>188</v>
      </c>
      <c r="D169" t="s">
        <v>189</v>
      </c>
      <c r="E169">
        <v>20</v>
      </c>
      <c r="F169">
        <v>0</v>
      </c>
      <c r="G169" t="s">
        <v>28</v>
      </c>
      <c r="I169">
        <v>130000</v>
      </c>
      <c r="J169">
        <v>20000</v>
      </c>
      <c r="K169">
        <v>25</v>
      </c>
      <c r="L169" t="s">
        <v>18</v>
      </c>
      <c r="M169" t="s">
        <v>30</v>
      </c>
    </row>
    <row r="170" spans="1:13" x14ac:dyDescent="0.3">
      <c r="A170">
        <v>28</v>
      </c>
      <c r="B170" t="s">
        <v>33</v>
      </c>
      <c r="C170" t="s">
        <v>14</v>
      </c>
      <c r="D170" t="s">
        <v>52</v>
      </c>
      <c r="E170">
        <v>6</v>
      </c>
      <c r="F170">
        <v>2</v>
      </c>
      <c r="G170" t="s">
        <v>28</v>
      </c>
      <c r="I170">
        <v>65000</v>
      </c>
      <c r="J170">
        <v>3000</v>
      </c>
      <c r="K170">
        <v>25</v>
      </c>
      <c r="L170" t="s">
        <v>18</v>
      </c>
      <c r="M170" t="s">
        <v>30</v>
      </c>
    </row>
    <row r="171" spans="1:13" x14ac:dyDescent="0.3">
      <c r="A171">
        <v>32</v>
      </c>
      <c r="B171" t="s">
        <v>13</v>
      </c>
      <c r="C171" t="s">
        <v>14</v>
      </c>
      <c r="D171" t="s">
        <v>52</v>
      </c>
      <c r="E171">
        <v>12</v>
      </c>
      <c r="F171">
        <v>4</v>
      </c>
      <c r="G171" t="s">
        <v>16</v>
      </c>
      <c r="I171">
        <v>95000</v>
      </c>
      <c r="J171">
        <v>8000</v>
      </c>
      <c r="K171">
        <v>25</v>
      </c>
      <c r="L171" t="s">
        <v>164</v>
      </c>
      <c r="M171" t="s">
        <v>30</v>
      </c>
    </row>
    <row r="172" spans="1:13" x14ac:dyDescent="0.3">
      <c r="A172">
        <v>38</v>
      </c>
      <c r="B172" t="s">
        <v>13</v>
      </c>
      <c r="C172" t="s">
        <v>70</v>
      </c>
      <c r="D172" t="s">
        <v>126</v>
      </c>
      <c r="E172">
        <v>16</v>
      </c>
      <c r="F172">
        <v>1</v>
      </c>
      <c r="G172" t="s">
        <v>24</v>
      </c>
      <c r="H172" t="s">
        <v>58</v>
      </c>
      <c r="I172">
        <v>99000</v>
      </c>
      <c r="J172">
        <v>112000</v>
      </c>
      <c r="K172">
        <v>25</v>
      </c>
      <c r="L172" t="s">
        <v>18</v>
      </c>
      <c r="M172" t="s">
        <v>23</v>
      </c>
    </row>
    <row r="173" spans="1:13" x14ac:dyDescent="0.3">
      <c r="A173">
        <v>42</v>
      </c>
      <c r="B173" t="s">
        <v>13</v>
      </c>
      <c r="C173" t="s">
        <v>198</v>
      </c>
      <c r="D173" t="s">
        <v>21</v>
      </c>
      <c r="E173">
        <v>20</v>
      </c>
      <c r="F173">
        <v>6</v>
      </c>
      <c r="G173" t="s">
        <v>16</v>
      </c>
      <c r="H173" t="s">
        <v>58</v>
      </c>
      <c r="I173">
        <v>75000</v>
      </c>
      <c r="J173">
        <v>0</v>
      </c>
      <c r="K173">
        <v>25</v>
      </c>
      <c r="L173" t="s">
        <v>18</v>
      </c>
      <c r="M173" t="s">
        <v>23</v>
      </c>
    </row>
    <row r="174" spans="1:13" x14ac:dyDescent="0.3">
      <c r="A174">
        <v>29</v>
      </c>
      <c r="B174" t="s">
        <v>13</v>
      </c>
      <c r="C174" t="s">
        <v>20</v>
      </c>
      <c r="D174" t="s">
        <v>21</v>
      </c>
      <c r="E174">
        <v>5</v>
      </c>
      <c r="F174">
        <v>5</v>
      </c>
      <c r="G174" t="s">
        <v>16</v>
      </c>
      <c r="H174" t="s">
        <v>51</v>
      </c>
      <c r="I174">
        <v>75000</v>
      </c>
      <c r="J174">
        <v>0</v>
      </c>
      <c r="K174">
        <v>25</v>
      </c>
      <c r="L174" t="s">
        <v>18</v>
      </c>
      <c r="M174" t="s">
        <v>23</v>
      </c>
    </row>
    <row r="175" spans="1:13" x14ac:dyDescent="0.3">
      <c r="A175">
        <v>29</v>
      </c>
      <c r="B175" t="s">
        <v>33</v>
      </c>
      <c r="C175" t="s">
        <v>20</v>
      </c>
      <c r="D175" t="s">
        <v>233</v>
      </c>
      <c r="E175">
        <v>9</v>
      </c>
      <c r="F175">
        <v>4</v>
      </c>
      <c r="G175" t="s">
        <v>24</v>
      </c>
      <c r="H175" t="s">
        <v>32</v>
      </c>
      <c r="I175">
        <v>66000</v>
      </c>
      <c r="J175">
        <v>0</v>
      </c>
      <c r="K175">
        <v>25</v>
      </c>
      <c r="L175" t="s">
        <v>18</v>
      </c>
      <c r="M175" t="s">
        <v>23</v>
      </c>
    </row>
    <row r="176" spans="1:13" x14ac:dyDescent="0.3">
      <c r="A176">
        <v>28</v>
      </c>
      <c r="B176" t="s">
        <v>13</v>
      </c>
      <c r="C176" t="s">
        <v>84</v>
      </c>
      <c r="D176" t="s">
        <v>15</v>
      </c>
      <c r="E176">
        <v>5</v>
      </c>
      <c r="F176">
        <v>1</v>
      </c>
      <c r="G176" t="s">
        <v>28</v>
      </c>
      <c r="H176" t="s">
        <v>32</v>
      </c>
      <c r="I176">
        <v>50000</v>
      </c>
      <c r="J176">
        <v>50000</v>
      </c>
      <c r="K176">
        <v>25</v>
      </c>
      <c r="L176" t="s">
        <v>164</v>
      </c>
      <c r="M176" t="s">
        <v>23</v>
      </c>
    </row>
    <row r="177" spans="1:13" x14ac:dyDescent="0.3">
      <c r="A177">
        <v>27</v>
      </c>
      <c r="B177" t="s">
        <v>33</v>
      </c>
      <c r="C177" t="s">
        <v>14</v>
      </c>
      <c r="D177" t="s">
        <v>21</v>
      </c>
      <c r="E177">
        <v>6</v>
      </c>
      <c r="F177">
        <v>4</v>
      </c>
      <c r="G177" t="s">
        <v>16</v>
      </c>
      <c r="H177" t="s">
        <v>32</v>
      </c>
      <c r="I177">
        <v>85600</v>
      </c>
      <c r="J177">
        <v>10000</v>
      </c>
      <c r="K177">
        <v>25</v>
      </c>
      <c r="L177" t="s">
        <v>18</v>
      </c>
      <c r="M177" t="s">
        <v>23</v>
      </c>
    </row>
    <row r="178" spans="1:13" x14ac:dyDescent="0.3">
      <c r="A178">
        <v>34</v>
      </c>
      <c r="B178" t="s">
        <v>13</v>
      </c>
      <c r="C178" t="s">
        <v>20</v>
      </c>
      <c r="D178" t="s">
        <v>27</v>
      </c>
      <c r="E178">
        <v>12</v>
      </c>
      <c r="F178">
        <v>2</v>
      </c>
      <c r="G178" t="s">
        <v>16</v>
      </c>
      <c r="H178" t="s">
        <v>32</v>
      </c>
      <c r="I178">
        <v>70000</v>
      </c>
      <c r="J178">
        <v>0</v>
      </c>
      <c r="K178">
        <v>25</v>
      </c>
      <c r="L178" t="s">
        <v>18</v>
      </c>
      <c r="M178" t="s">
        <v>23</v>
      </c>
    </row>
    <row r="179" spans="1:13" x14ac:dyDescent="0.3">
      <c r="A179">
        <v>34</v>
      </c>
      <c r="B179" t="s">
        <v>33</v>
      </c>
      <c r="C179" t="s">
        <v>20</v>
      </c>
      <c r="D179" t="s">
        <v>52</v>
      </c>
      <c r="E179">
        <v>7</v>
      </c>
      <c r="F179">
        <v>0</v>
      </c>
      <c r="G179" t="s">
        <v>16</v>
      </c>
      <c r="H179" t="s">
        <v>32</v>
      </c>
      <c r="I179">
        <v>55000</v>
      </c>
      <c r="K179">
        <v>25</v>
      </c>
      <c r="L179" t="s">
        <v>18</v>
      </c>
      <c r="M179" t="s">
        <v>23</v>
      </c>
    </row>
    <row r="180" spans="1:13" x14ac:dyDescent="0.3">
      <c r="A180">
        <v>32</v>
      </c>
      <c r="B180" t="s">
        <v>13</v>
      </c>
      <c r="C180" t="s">
        <v>20</v>
      </c>
      <c r="D180" t="s">
        <v>15</v>
      </c>
      <c r="E180">
        <v>9</v>
      </c>
      <c r="F180">
        <v>5</v>
      </c>
      <c r="G180" t="s">
        <v>24</v>
      </c>
      <c r="H180" t="s">
        <v>55</v>
      </c>
      <c r="I180">
        <v>90000</v>
      </c>
      <c r="J180">
        <v>0</v>
      </c>
      <c r="K180">
        <v>25</v>
      </c>
      <c r="L180" t="s">
        <v>18</v>
      </c>
      <c r="M180" t="s">
        <v>23</v>
      </c>
    </row>
    <row r="181" spans="1:13" x14ac:dyDescent="0.3">
      <c r="A181">
        <v>34</v>
      </c>
      <c r="B181" t="s">
        <v>13</v>
      </c>
      <c r="C181" t="s">
        <v>20</v>
      </c>
      <c r="D181" t="s">
        <v>25</v>
      </c>
      <c r="E181">
        <v>6</v>
      </c>
      <c r="F181">
        <v>2</v>
      </c>
      <c r="G181" t="s">
        <v>28</v>
      </c>
      <c r="H181" t="s">
        <v>55</v>
      </c>
      <c r="I181">
        <v>63000</v>
      </c>
      <c r="J181">
        <v>0</v>
      </c>
      <c r="K181">
        <v>25</v>
      </c>
      <c r="L181" t="s">
        <v>18</v>
      </c>
      <c r="M181" t="s">
        <v>23</v>
      </c>
    </row>
    <row r="182" spans="1:13" x14ac:dyDescent="0.3">
      <c r="A182">
        <v>27</v>
      </c>
      <c r="B182" t="s">
        <v>13</v>
      </c>
      <c r="C182" t="s">
        <v>20</v>
      </c>
      <c r="D182" t="s">
        <v>25</v>
      </c>
      <c r="E182">
        <v>5</v>
      </c>
      <c r="F182">
        <v>1</v>
      </c>
      <c r="G182" t="s">
        <v>28</v>
      </c>
      <c r="H182" t="s">
        <v>55</v>
      </c>
      <c r="I182">
        <v>58000</v>
      </c>
      <c r="J182">
        <v>58000</v>
      </c>
      <c r="K182">
        <v>25</v>
      </c>
      <c r="L182" t="s">
        <v>18</v>
      </c>
      <c r="M182" t="s">
        <v>23</v>
      </c>
    </row>
    <row r="183" spans="1:13" x14ac:dyDescent="0.3">
      <c r="A183">
        <v>26</v>
      </c>
      <c r="B183" t="s">
        <v>33</v>
      </c>
      <c r="C183" t="s">
        <v>20</v>
      </c>
      <c r="D183" t="s">
        <v>308</v>
      </c>
      <c r="E183">
        <v>2.5</v>
      </c>
      <c r="F183">
        <v>2.5</v>
      </c>
      <c r="G183" t="s">
        <v>28</v>
      </c>
      <c r="H183" t="s">
        <v>55</v>
      </c>
      <c r="I183">
        <v>40000</v>
      </c>
      <c r="J183">
        <v>1000</v>
      </c>
      <c r="K183">
        <v>25</v>
      </c>
      <c r="L183" t="s">
        <v>18</v>
      </c>
      <c r="M183" t="s">
        <v>23</v>
      </c>
    </row>
    <row r="184" spans="1:13" x14ac:dyDescent="0.3">
      <c r="A184">
        <v>31</v>
      </c>
      <c r="B184" t="s">
        <v>13</v>
      </c>
      <c r="C184" t="s">
        <v>39</v>
      </c>
      <c r="D184" t="s">
        <v>21</v>
      </c>
      <c r="E184">
        <v>5</v>
      </c>
      <c r="F184">
        <v>1</v>
      </c>
      <c r="G184" t="s">
        <v>16</v>
      </c>
      <c r="H184" t="s">
        <v>40</v>
      </c>
      <c r="I184">
        <v>75000</v>
      </c>
      <c r="J184">
        <v>2000</v>
      </c>
      <c r="K184">
        <v>25</v>
      </c>
      <c r="L184" t="s">
        <v>18</v>
      </c>
      <c r="M184" t="s">
        <v>23</v>
      </c>
    </row>
    <row r="185" spans="1:13" x14ac:dyDescent="0.3">
      <c r="A185">
        <v>28</v>
      </c>
      <c r="B185" t="s">
        <v>13</v>
      </c>
      <c r="C185" t="s">
        <v>20</v>
      </c>
      <c r="D185" t="s">
        <v>21</v>
      </c>
      <c r="E185">
        <v>5</v>
      </c>
      <c r="F185">
        <v>1</v>
      </c>
      <c r="G185" t="s">
        <v>16</v>
      </c>
      <c r="H185" t="s">
        <v>40</v>
      </c>
      <c r="I185">
        <v>75000</v>
      </c>
      <c r="K185">
        <v>25</v>
      </c>
      <c r="L185" t="s">
        <v>18</v>
      </c>
      <c r="M185" t="s">
        <v>23</v>
      </c>
    </row>
    <row r="186" spans="1:13" x14ac:dyDescent="0.3">
      <c r="A186">
        <v>33</v>
      </c>
      <c r="B186" t="s">
        <v>13</v>
      </c>
      <c r="C186" t="s">
        <v>20</v>
      </c>
      <c r="D186" t="s">
        <v>21</v>
      </c>
      <c r="E186">
        <v>8</v>
      </c>
      <c r="F186">
        <v>6</v>
      </c>
      <c r="G186" t="s">
        <v>24</v>
      </c>
      <c r="H186" t="s">
        <v>122</v>
      </c>
      <c r="I186">
        <v>90000</v>
      </c>
      <c r="J186">
        <v>20000</v>
      </c>
      <c r="K186">
        <v>25</v>
      </c>
      <c r="L186" t="s">
        <v>18</v>
      </c>
      <c r="M186" t="s">
        <v>23</v>
      </c>
    </row>
    <row r="187" spans="1:13" x14ac:dyDescent="0.3">
      <c r="A187">
        <v>39</v>
      </c>
      <c r="B187" t="s">
        <v>13</v>
      </c>
      <c r="C187" t="s">
        <v>20</v>
      </c>
      <c r="D187" t="s">
        <v>15</v>
      </c>
      <c r="E187">
        <v>6</v>
      </c>
      <c r="F187">
        <v>1</v>
      </c>
      <c r="G187" t="s">
        <v>16</v>
      </c>
      <c r="H187" t="s">
        <v>31</v>
      </c>
      <c r="I187">
        <v>60000</v>
      </c>
      <c r="K187">
        <v>25</v>
      </c>
      <c r="L187" t="s">
        <v>18</v>
      </c>
      <c r="M187" t="s">
        <v>23</v>
      </c>
    </row>
    <row r="188" spans="1:13" x14ac:dyDescent="0.3">
      <c r="A188">
        <v>32</v>
      </c>
      <c r="B188" t="s">
        <v>13</v>
      </c>
      <c r="C188" t="s">
        <v>70</v>
      </c>
      <c r="D188" t="s">
        <v>99</v>
      </c>
      <c r="E188">
        <v>10</v>
      </c>
      <c r="F188">
        <v>2</v>
      </c>
      <c r="G188" t="s">
        <v>16</v>
      </c>
      <c r="H188" t="s">
        <v>50</v>
      </c>
      <c r="I188">
        <v>68500</v>
      </c>
      <c r="J188">
        <v>6000</v>
      </c>
      <c r="K188">
        <v>25</v>
      </c>
      <c r="L188" t="s">
        <v>18</v>
      </c>
      <c r="M188" t="s">
        <v>23</v>
      </c>
    </row>
    <row r="189" spans="1:13" x14ac:dyDescent="0.3">
      <c r="A189">
        <v>29</v>
      </c>
      <c r="B189" t="s">
        <v>13</v>
      </c>
      <c r="C189" t="s">
        <v>20</v>
      </c>
      <c r="D189" t="s">
        <v>21</v>
      </c>
      <c r="E189">
        <v>8</v>
      </c>
      <c r="F189">
        <v>0</v>
      </c>
      <c r="G189" t="s">
        <v>16</v>
      </c>
      <c r="H189" t="s">
        <v>71</v>
      </c>
      <c r="I189">
        <v>72000</v>
      </c>
      <c r="K189">
        <v>25</v>
      </c>
      <c r="L189" t="s">
        <v>18</v>
      </c>
      <c r="M189" t="s">
        <v>23</v>
      </c>
    </row>
    <row r="190" spans="1:13" x14ac:dyDescent="0.3">
      <c r="A190">
        <v>26</v>
      </c>
      <c r="B190" t="s">
        <v>33</v>
      </c>
      <c r="C190" t="s">
        <v>20</v>
      </c>
      <c r="D190" t="s">
        <v>53</v>
      </c>
      <c r="E190">
        <v>4</v>
      </c>
      <c r="F190">
        <v>1</v>
      </c>
      <c r="G190" t="s">
        <v>28</v>
      </c>
      <c r="H190" t="s">
        <v>42</v>
      </c>
      <c r="I190">
        <v>45000</v>
      </c>
      <c r="J190">
        <v>0</v>
      </c>
      <c r="K190">
        <v>25</v>
      </c>
      <c r="L190" t="s">
        <v>18</v>
      </c>
      <c r="M190" t="s">
        <v>23</v>
      </c>
    </row>
    <row r="191" spans="1:13" x14ac:dyDescent="0.3">
      <c r="A191">
        <v>29</v>
      </c>
      <c r="B191" t="s">
        <v>13</v>
      </c>
      <c r="C191" t="s">
        <v>20</v>
      </c>
      <c r="D191" t="s">
        <v>326</v>
      </c>
      <c r="E191">
        <v>7</v>
      </c>
      <c r="F191">
        <v>2</v>
      </c>
      <c r="G191" t="s">
        <v>28</v>
      </c>
      <c r="I191">
        <v>72000</v>
      </c>
      <c r="K191">
        <v>25</v>
      </c>
      <c r="L191" t="s">
        <v>18</v>
      </c>
      <c r="M191" t="s">
        <v>23</v>
      </c>
    </row>
    <row r="192" spans="1:13" x14ac:dyDescent="0.3">
      <c r="A192">
        <v>34</v>
      </c>
      <c r="B192" t="s">
        <v>13</v>
      </c>
      <c r="C192" t="s">
        <v>97</v>
      </c>
      <c r="D192" t="s">
        <v>53</v>
      </c>
      <c r="E192">
        <v>12</v>
      </c>
      <c r="F192">
        <v>3</v>
      </c>
      <c r="G192" t="s">
        <v>16</v>
      </c>
      <c r="I192">
        <v>77500</v>
      </c>
      <c r="J192">
        <v>7750</v>
      </c>
      <c r="K192">
        <v>25</v>
      </c>
      <c r="L192" t="s">
        <v>18</v>
      </c>
      <c r="M192" t="s">
        <v>23</v>
      </c>
    </row>
    <row r="193" spans="1:13" x14ac:dyDescent="0.3">
      <c r="A193">
        <v>56</v>
      </c>
      <c r="B193" t="s">
        <v>13</v>
      </c>
      <c r="C193" t="s">
        <v>14</v>
      </c>
      <c r="D193" t="s">
        <v>15</v>
      </c>
      <c r="E193">
        <v>30</v>
      </c>
      <c r="F193">
        <v>19</v>
      </c>
      <c r="G193" t="s">
        <v>24</v>
      </c>
      <c r="H193" t="s">
        <v>37</v>
      </c>
      <c r="I193">
        <v>110000</v>
      </c>
      <c r="J193">
        <v>110000</v>
      </c>
      <c r="K193">
        <v>25</v>
      </c>
      <c r="L193" t="s">
        <v>18</v>
      </c>
      <c r="M193" t="s">
        <v>19</v>
      </c>
    </row>
    <row r="194" spans="1:13" x14ac:dyDescent="0.3">
      <c r="A194">
        <v>32</v>
      </c>
      <c r="B194" t="s">
        <v>13</v>
      </c>
      <c r="C194" t="s">
        <v>20</v>
      </c>
      <c r="D194" t="s">
        <v>15</v>
      </c>
      <c r="E194">
        <v>12</v>
      </c>
      <c r="F194">
        <v>1.5</v>
      </c>
      <c r="G194" t="s">
        <v>16</v>
      </c>
      <c r="H194" t="s">
        <v>46</v>
      </c>
      <c r="I194">
        <v>66800</v>
      </c>
      <c r="K194">
        <v>25</v>
      </c>
      <c r="L194" t="s">
        <v>18</v>
      </c>
      <c r="M194" t="s">
        <v>19</v>
      </c>
    </row>
    <row r="195" spans="1:13" x14ac:dyDescent="0.3">
      <c r="A195">
        <v>30</v>
      </c>
      <c r="B195" t="s">
        <v>13</v>
      </c>
      <c r="C195" t="s">
        <v>20</v>
      </c>
      <c r="D195" t="s">
        <v>21</v>
      </c>
      <c r="E195">
        <v>9</v>
      </c>
      <c r="F195">
        <v>3</v>
      </c>
      <c r="G195" t="s">
        <v>62</v>
      </c>
      <c r="H195" t="s">
        <v>32</v>
      </c>
      <c r="I195">
        <v>85000</v>
      </c>
      <c r="K195">
        <v>25</v>
      </c>
      <c r="L195" t="s">
        <v>18</v>
      </c>
      <c r="M195" t="s">
        <v>19</v>
      </c>
    </row>
    <row r="196" spans="1:13" x14ac:dyDescent="0.3">
      <c r="A196">
        <v>29</v>
      </c>
      <c r="B196" t="s">
        <v>13</v>
      </c>
      <c r="C196" t="s">
        <v>20</v>
      </c>
      <c r="D196" t="s">
        <v>21</v>
      </c>
      <c r="E196">
        <v>9</v>
      </c>
      <c r="F196">
        <v>6</v>
      </c>
      <c r="G196" t="s">
        <v>16</v>
      </c>
      <c r="H196" t="s">
        <v>32</v>
      </c>
      <c r="I196">
        <v>75000</v>
      </c>
      <c r="K196">
        <v>25</v>
      </c>
      <c r="L196" t="s">
        <v>18</v>
      </c>
      <c r="M196" t="s">
        <v>19</v>
      </c>
    </row>
    <row r="197" spans="1:13" x14ac:dyDescent="0.3">
      <c r="A197">
        <v>35</v>
      </c>
      <c r="B197" t="s">
        <v>13</v>
      </c>
      <c r="C197" t="s">
        <v>70</v>
      </c>
      <c r="D197" t="s">
        <v>15</v>
      </c>
      <c r="E197">
        <v>12</v>
      </c>
      <c r="F197">
        <v>3</v>
      </c>
      <c r="G197" t="s">
        <v>16</v>
      </c>
      <c r="H197" t="s">
        <v>32</v>
      </c>
      <c r="I197">
        <v>66000</v>
      </c>
      <c r="K197">
        <v>25</v>
      </c>
      <c r="L197" t="s">
        <v>36</v>
      </c>
      <c r="M197" t="s">
        <v>19</v>
      </c>
    </row>
    <row r="198" spans="1:13" x14ac:dyDescent="0.3">
      <c r="A198">
        <v>26</v>
      </c>
      <c r="B198" t="s">
        <v>13</v>
      </c>
      <c r="C198" t="s">
        <v>65</v>
      </c>
      <c r="D198" t="s">
        <v>27</v>
      </c>
      <c r="E198">
        <v>3</v>
      </c>
      <c r="F198">
        <v>0</v>
      </c>
      <c r="G198" t="s">
        <v>28</v>
      </c>
      <c r="H198" t="s">
        <v>128</v>
      </c>
      <c r="I198">
        <v>37000</v>
      </c>
      <c r="K198">
        <v>25</v>
      </c>
      <c r="L198" t="s">
        <v>18</v>
      </c>
      <c r="M198" t="s">
        <v>19</v>
      </c>
    </row>
    <row r="199" spans="1:13" x14ac:dyDescent="0.3">
      <c r="A199">
        <v>31</v>
      </c>
      <c r="B199" t="s">
        <v>13</v>
      </c>
      <c r="C199" t="s">
        <v>240</v>
      </c>
      <c r="D199" t="s">
        <v>241</v>
      </c>
      <c r="E199">
        <v>10</v>
      </c>
      <c r="F199">
        <v>2</v>
      </c>
      <c r="G199" t="s">
        <v>242</v>
      </c>
      <c r="H199" t="s">
        <v>50</v>
      </c>
      <c r="I199">
        <v>115000</v>
      </c>
      <c r="J199">
        <v>25000</v>
      </c>
      <c r="K199">
        <v>25</v>
      </c>
      <c r="L199" t="s">
        <v>18</v>
      </c>
      <c r="M199" t="s">
        <v>19</v>
      </c>
    </row>
    <row r="200" spans="1:13" x14ac:dyDescent="0.3">
      <c r="A200">
        <v>26</v>
      </c>
      <c r="B200" t="s">
        <v>13</v>
      </c>
      <c r="C200" t="s">
        <v>199</v>
      </c>
      <c r="D200" t="s">
        <v>53</v>
      </c>
      <c r="E200">
        <v>2</v>
      </c>
      <c r="G200" t="s">
        <v>26</v>
      </c>
      <c r="H200" t="s">
        <v>50</v>
      </c>
      <c r="I200">
        <v>48000</v>
      </c>
      <c r="J200">
        <v>15000</v>
      </c>
      <c r="K200">
        <v>25</v>
      </c>
      <c r="L200" t="s">
        <v>18</v>
      </c>
      <c r="M200" t="s">
        <v>19</v>
      </c>
    </row>
    <row r="201" spans="1:13" x14ac:dyDescent="0.3">
      <c r="A201">
        <v>35</v>
      </c>
      <c r="B201" t="s">
        <v>13</v>
      </c>
      <c r="C201" t="s">
        <v>274</v>
      </c>
      <c r="D201" t="s">
        <v>53</v>
      </c>
      <c r="E201">
        <v>10</v>
      </c>
      <c r="F201">
        <v>10</v>
      </c>
      <c r="G201" t="s">
        <v>28</v>
      </c>
      <c r="H201" t="s">
        <v>50</v>
      </c>
      <c r="I201">
        <v>65000</v>
      </c>
      <c r="J201">
        <v>0</v>
      </c>
      <c r="K201">
        <v>25</v>
      </c>
      <c r="L201" t="s">
        <v>18</v>
      </c>
      <c r="M201" t="s">
        <v>19</v>
      </c>
    </row>
    <row r="202" spans="1:13" x14ac:dyDescent="0.3">
      <c r="A202">
        <v>35</v>
      </c>
      <c r="B202" t="s">
        <v>13</v>
      </c>
      <c r="C202" t="s">
        <v>34</v>
      </c>
      <c r="D202" t="s">
        <v>15</v>
      </c>
      <c r="E202">
        <v>13</v>
      </c>
      <c r="F202">
        <v>3</v>
      </c>
      <c r="G202" t="s">
        <v>24</v>
      </c>
      <c r="H202" t="s">
        <v>71</v>
      </c>
      <c r="I202">
        <v>95000</v>
      </c>
      <c r="J202">
        <v>15000</v>
      </c>
      <c r="K202">
        <v>25</v>
      </c>
      <c r="L202" t="s">
        <v>18</v>
      </c>
      <c r="M202" t="s">
        <v>19</v>
      </c>
    </row>
    <row r="203" spans="1:13" x14ac:dyDescent="0.3">
      <c r="A203">
        <v>23</v>
      </c>
      <c r="B203" t="s">
        <v>13</v>
      </c>
      <c r="C203" t="s">
        <v>20</v>
      </c>
      <c r="D203" t="s">
        <v>43</v>
      </c>
      <c r="E203">
        <v>3</v>
      </c>
      <c r="F203">
        <v>0</v>
      </c>
      <c r="G203" t="s">
        <v>24</v>
      </c>
      <c r="H203" t="s">
        <v>80</v>
      </c>
      <c r="I203">
        <v>65000</v>
      </c>
      <c r="J203">
        <v>65000</v>
      </c>
      <c r="K203">
        <v>25</v>
      </c>
      <c r="L203" t="s">
        <v>18</v>
      </c>
      <c r="M203" t="s">
        <v>19</v>
      </c>
    </row>
    <row r="204" spans="1:13" x14ac:dyDescent="0.3">
      <c r="A204">
        <v>26</v>
      </c>
      <c r="B204" t="s">
        <v>13</v>
      </c>
      <c r="C204" t="s">
        <v>20</v>
      </c>
      <c r="D204" t="s">
        <v>52</v>
      </c>
      <c r="E204">
        <v>4</v>
      </c>
      <c r="F204">
        <v>1</v>
      </c>
      <c r="G204" t="s">
        <v>28</v>
      </c>
      <c r="H204" t="s">
        <v>80</v>
      </c>
      <c r="I204">
        <v>55500</v>
      </c>
      <c r="K204">
        <v>25</v>
      </c>
      <c r="L204" t="s">
        <v>18</v>
      </c>
      <c r="M204" t="s">
        <v>19</v>
      </c>
    </row>
    <row r="205" spans="1:13" x14ac:dyDescent="0.3">
      <c r="A205">
        <v>30</v>
      </c>
      <c r="B205" t="s">
        <v>13</v>
      </c>
      <c r="C205" t="s">
        <v>20</v>
      </c>
      <c r="D205" t="s">
        <v>21</v>
      </c>
      <c r="E205">
        <v>8</v>
      </c>
      <c r="F205">
        <v>0</v>
      </c>
      <c r="G205" t="s">
        <v>16</v>
      </c>
      <c r="I205">
        <v>73000</v>
      </c>
      <c r="K205">
        <v>25</v>
      </c>
      <c r="L205" t="s">
        <v>18</v>
      </c>
      <c r="M205" t="s">
        <v>19</v>
      </c>
    </row>
    <row r="206" spans="1:13" x14ac:dyDescent="0.3">
      <c r="A206">
        <v>35</v>
      </c>
      <c r="B206" t="s">
        <v>13</v>
      </c>
      <c r="C206" t="s">
        <v>20</v>
      </c>
      <c r="D206" t="s">
        <v>38</v>
      </c>
      <c r="E206">
        <v>10</v>
      </c>
      <c r="F206">
        <v>4</v>
      </c>
      <c r="G206" t="s">
        <v>16</v>
      </c>
      <c r="I206">
        <v>70000</v>
      </c>
      <c r="K206">
        <v>25</v>
      </c>
      <c r="L206" t="s">
        <v>18</v>
      </c>
      <c r="M206" t="s">
        <v>19</v>
      </c>
    </row>
    <row r="207" spans="1:13" x14ac:dyDescent="0.3">
      <c r="A207">
        <v>28</v>
      </c>
      <c r="B207" t="s">
        <v>13</v>
      </c>
      <c r="C207" t="s">
        <v>390</v>
      </c>
      <c r="D207" t="s">
        <v>391</v>
      </c>
      <c r="E207">
        <v>3</v>
      </c>
      <c r="F207">
        <v>0</v>
      </c>
      <c r="G207" t="s">
        <v>28</v>
      </c>
      <c r="H207" t="s">
        <v>37</v>
      </c>
      <c r="I207">
        <v>45000</v>
      </c>
      <c r="J207">
        <v>0</v>
      </c>
      <c r="K207">
        <v>25</v>
      </c>
      <c r="L207" t="s">
        <v>18</v>
      </c>
      <c r="M207" t="s">
        <v>67</v>
      </c>
    </row>
    <row r="208" spans="1:13" x14ac:dyDescent="0.3">
      <c r="A208">
        <v>36</v>
      </c>
      <c r="B208" t="s">
        <v>13</v>
      </c>
      <c r="C208" t="s">
        <v>20</v>
      </c>
      <c r="D208" t="s">
        <v>15</v>
      </c>
      <c r="E208">
        <v>7</v>
      </c>
      <c r="F208">
        <v>5</v>
      </c>
      <c r="G208" t="s">
        <v>28</v>
      </c>
      <c r="H208" t="s">
        <v>37</v>
      </c>
      <c r="I208">
        <v>42000</v>
      </c>
      <c r="K208">
        <v>25</v>
      </c>
      <c r="L208" t="s">
        <v>88</v>
      </c>
      <c r="M208" t="s">
        <v>67</v>
      </c>
    </row>
    <row r="209" spans="1:13" x14ac:dyDescent="0.3">
      <c r="A209">
        <v>34</v>
      </c>
      <c r="B209" t="s">
        <v>13</v>
      </c>
      <c r="C209" t="s">
        <v>20</v>
      </c>
      <c r="D209" t="s">
        <v>25</v>
      </c>
      <c r="E209">
        <v>7</v>
      </c>
      <c r="F209">
        <v>1</v>
      </c>
      <c r="G209" t="s">
        <v>16</v>
      </c>
      <c r="H209" t="s">
        <v>55</v>
      </c>
      <c r="I209">
        <v>65000</v>
      </c>
      <c r="K209">
        <v>25</v>
      </c>
      <c r="L209" t="s">
        <v>18</v>
      </c>
      <c r="M209" t="s">
        <v>67</v>
      </c>
    </row>
    <row r="210" spans="1:13" x14ac:dyDescent="0.3">
      <c r="A210">
        <v>32</v>
      </c>
      <c r="B210" t="s">
        <v>13</v>
      </c>
      <c r="C210" t="s">
        <v>392</v>
      </c>
      <c r="D210" t="s">
        <v>53</v>
      </c>
      <c r="E210">
        <v>6</v>
      </c>
      <c r="F210">
        <v>6</v>
      </c>
      <c r="G210" t="s">
        <v>16</v>
      </c>
      <c r="H210" t="s">
        <v>50</v>
      </c>
      <c r="I210">
        <v>92000</v>
      </c>
      <c r="J210">
        <v>5000</v>
      </c>
      <c r="K210">
        <v>25</v>
      </c>
      <c r="L210" t="s">
        <v>18</v>
      </c>
      <c r="M210" t="s">
        <v>67</v>
      </c>
    </row>
    <row r="211" spans="1:13" x14ac:dyDescent="0.3">
      <c r="A211">
        <v>29</v>
      </c>
      <c r="B211" t="s">
        <v>13</v>
      </c>
      <c r="C211" t="s">
        <v>68</v>
      </c>
      <c r="D211" t="s">
        <v>43</v>
      </c>
      <c r="E211">
        <v>6</v>
      </c>
      <c r="F211">
        <v>3</v>
      </c>
      <c r="G211" t="s">
        <v>28</v>
      </c>
      <c r="H211" t="s">
        <v>79</v>
      </c>
      <c r="I211">
        <v>53000</v>
      </c>
      <c r="K211">
        <v>26</v>
      </c>
      <c r="L211" t="s">
        <v>18</v>
      </c>
      <c r="M211" s="97" t="s">
        <v>552</v>
      </c>
    </row>
    <row r="212" spans="1:13" x14ac:dyDescent="0.3">
      <c r="A212">
        <v>35</v>
      </c>
      <c r="B212" t="s">
        <v>13</v>
      </c>
      <c r="C212" t="s">
        <v>20</v>
      </c>
      <c r="D212" t="s">
        <v>69</v>
      </c>
      <c r="E212">
        <v>20</v>
      </c>
      <c r="F212">
        <v>6</v>
      </c>
      <c r="G212" t="s">
        <v>24</v>
      </c>
      <c r="H212" t="s">
        <v>51</v>
      </c>
      <c r="I212">
        <v>85000</v>
      </c>
      <c r="J212">
        <v>0</v>
      </c>
      <c r="K212">
        <v>26</v>
      </c>
      <c r="L212" t="s">
        <v>18</v>
      </c>
      <c r="M212" s="97" t="s">
        <v>552</v>
      </c>
    </row>
    <row r="213" spans="1:13" x14ac:dyDescent="0.3">
      <c r="A213">
        <v>44</v>
      </c>
      <c r="B213" t="s">
        <v>13</v>
      </c>
      <c r="C213" t="s">
        <v>20</v>
      </c>
      <c r="D213" t="s">
        <v>21</v>
      </c>
      <c r="E213">
        <v>12</v>
      </c>
      <c r="F213">
        <v>3</v>
      </c>
      <c r="G213" t="s">
        <v>16</v>
      </c>
      <c r="H213" t="s">
        <v>32</v>
      </c>
      <c r="I213">
        <v>68000</v>
      </c>
      <c r="K213">
        <v>26</v>
      </c>
      <c r="L213" t="s">
        <v>18</v>
      </c>
      <c r="M213" s="97" t="s">
        <v>552</v>
      </c>
    </row>
    <row r="214" spans="1:13" x14ac:dyDescent="0.3">
      <c r="A214">
        <v>32</v>
      </c>
      <c r="B214" t="s">
        <v>13</v>
      </c>
      <c r="C214" t="s">
        <v>14</v>
      </c>
      <c r="D214" t="s">
        <v>87</v>
      </c>
      <c r="E214">
        <v>9</v>
      </c>
      <c r="F214">
        <v>2</v>
      </c>
      <c r="G214" t="s">
        <v>16</v>
      </c>
      <c r="H214" t="s">
        <v>32</v>
      </c>
      <c r="I214">
        <v>70000</v>
      </c>
      <c r="J214">
        <v>4000</v>
      </c>
      <c r="K214">
        <v>26</v>
      </c>
      <c r="L214" t="s">
        <v>18</v>
      </c>
      <c r="M214" s="97" t="s">
        <v>552</v>
      </c>
    </row>
    <row r="215" spans="1:13" x14ac:dyDescent="0.3">
      <c r="A215">
        <v>38</v>
      </c>
      <c r="B215" t="s">
        <v>13</v>
      </c>
      <c r="C215" t="s">
        <v>14</v>
      </c>
      <c r="D215" t="s">
        <v>15</v>
      </c>
      <c r="E215">
        <v>15</v>
      </c>
      <c r="F215">
        <v>2</v>
      </c>
      <c r="G215" t="s">
        <v>16</v>
      </c>
      <c r="H215" t="s">
        <v>32</v>
      </c>
      <c r="I215">
        <v>70000</v>
      </c>
      <c r="J215">
        <v>75000</v>
      </c>
      <c r="K215">
        <v>26</v>
      </c>
      <c r="L215" t="s">
        <v>18</v>
      </c>
      <c r="M215" s="97" t="s">
        <v>552</v>
      </c>
    </row>
    <row r="216" spans="1:13" x14ac:dyDescent="0.3">
      <c r="A216">
        <v>42</v>
      </c>
      <c r="B216" t="s">
        <v>13</v>
      </c>
      <c r="C216" t="s">
        <v>20</v>
      </c>
      <c r="D216" t="s">
        <v>21</v>
      </c>
      <c r="E216">
        <v>18</v>
      </c>
      <c r="F216">
        <v>2</v>
      </c>
      <c r="G216" t="s">
        <v>28</v>
      </c>
      <c r="H216" t="s">
        <v>31</v>
      </c>
      <c r="I216">
        <v>53000</v>
      </c>
      <c r="K216">
        <v>26</v>
      </c>
      <c r="L216" t="s">
        <v>18</v>
      </c>
      <c r="M216" s="97" t="s">
        <v>552</v>
      </c>
    </row>
    <row r="217" spans="1:13" x14ac:dyDescent="0.3">
      <c r="A217">
        <v>25</v>
      </c>
      <c r="B217" t="s">
        <v>13</v>
      </c>
      <c r="C217" t="s">
        <v>59</v>
      </c>
      <c r="D217" t="s">
        <v>21</v>
      </c>
      <c r="E217">
        <v>7</v>
      </c>
      <c r="F217">
        <v>1</v>
      </c>
      <c r="G217" t="s">
        <v>16</v>
      </c>
      <c r="H217" t="s">
        <v>31</v>
      </c>
      <c r="I217">
        <v>60000</v>
      </c>
      <c r="K217">
        <v>26</v>
      </c>
      <c r="L217" t="s">
        <v>18</v>
      </c>
      <c r="M217" s="97" t="s">
        <v>552</v>
      </c>
    </row>
    <row r="218" spans="1:13" x14ac:dyDescent="0.3">
      <c r="A218">
        <v>37</v>
      </c>
      <c r="B218" t="s">
        <v>13</v>
      </c>
      <c r="C218" t="s">
        <v>20</v>
      </c>
      <c r="D218" t="s">
        <v>15</v>
      </c>
      <c r="E218">
        <v>10</v>
      </c>
      <c r="F218">
        <v>3</v>
      </c>
      <c r="G218" t="s">
        <v>16</v>
      </c>
      <c r="H218" t="s">
        <v>31</v>
      </c>
      <c r="I218">
        <v>55000</v>
      </c>
      <c r="K218">
        <v>26</v>
      </c>
      <c r="L218" t="s">
        <v>18</v>
      </c>
      <c r="M218" s="97" t="s">
        <v>552</v>
      </c>
    </row>
    <row r="219" spans="1:13" x14ac:dyDescent="0.3">
      <c r="A219">
        <v>23</v>
      </c>
      <c r="B219" t="s">
        <v>13</v>
      </c>
      <c r="C219" t="s">
        <v>20</v>
      </c>
      <c r="D219" t="s">
        <v>258</v>
      </c>
      <c r="E219">
        <v>4</v>
      </c>
      <c r="F219">
        <v>0.3</v>
      </c>
      <c r="G219" t="s">
        <v>28</v>
      </c>
      <c r="I219">
        <v>45000</v>
      </c>
      <c r="J219">
        <v>0</v>
      </c>
      <c r="K219">
        <v>26</v>
      </c>
      <c r="L219" t="s">
        <v>18</v>
      </c>
      <c r="M219" s="97" t="s">
        <v>552</v>
      </c>
    </row>
    <row r="220" spans="1:13" x14ac:dyDescent="0.3">
      <c r="A220">
        <v>48</v>
      </c>
      <c r="B220" t="s">
        <v>13</v>
      </c>
      <c r="C220" t="s">
        <v>20</v>
      </c>
      <c r="D220" t="s">
        <v>211</v>
      </c>
      <c r="F220">
        <v>17</v>
      </c>
      <c r="G220" t="s">
        <v>16</v>
      </c>
      <c r="H220" t="s">
        <v>212</v>
      </c>
      <c r="I220">
        <v>68500</v>
      </c>
      <c r="J220">
        <v>0</v>
      </c>
      <c r="K220">
        <v>26</v>
      </c>
      <c r="L220" t="s">
        <v>18</v>
      </c>
      <c r="M220" t="s">
        <v>30</v>
      </c>
    </row>
    <row r="221" spans="1:13" x14ac:dyDescent="0.3">
      <c r="A221">
        <v>38</v>
      </c>
      <c r="B221" t="s">
        <v>33</v>
      </c>
      <c r="C221" t="s">
        <v>14</v>
      </c>
      <c r="D221" t="s">
        <v>52</v>
      </c>
      <c r="E221">
        <v>6</v>
      </c>
      <c r="F221">
        <v>2</v>
      </c>
      <c r="G221" t="s">
        <v>28</v>
      </c>
      <c r="H221" t="s">
        <v>32</v>
      </c>
      <c r="I221">
        <v>62000</v>
      </c>
      <c r="K221">
        <v>26</v>
      </c>
      <c r="L221" t="s">
        <v>18</v>
      </c>
      <c r="M221" t="s">
        <v>30</v>
      </c>
    </row>
    <row r="222" spans="1:13" x14ac:dyDescent="0.3">
      <c r="A222">
        <v>28</v>
      </c>
      <c r="B222" t="s">
        <v>13</v>
      </c>
      <c r="C222" t="s">
        <v>20</v>
      </c>
      <c r="D222" t="s">
        <v>25</v>
      </c>
      <c r="E222">
        <v>2</v>
      </c>
      <c r="F222">
        <v>2</v>
      </c>
      <c r="G222" t="s">
        <v>26</v>
      </c>
      <c r="H222" t="s">
        <v>55</v>
      </c>
      <c r="I222">
        <v>47000</v>
      </c>
      <c r="K222">
        <v>26</v>
      </c>
      <c r="L222" t="s">
        <v>36</v>
      </c>
      <c r="M222" t="s">
        <v>30</v>
      </c>
    </row>
    <row r="223" spans="1:13" x14ac:dyDescent="0.3">
      <c r="A223">
        <v>32</v>
      </c>
      <c r="B223" t="s">
        <v>33</v>
      </c>
      <c r="C223" t="s">
        <v>20</v>
      </c>
      <c r="D223" t="s">
        <v>43</v>
      </c>
      <c r="E223">
        <v>7</v>
      </c>
      <c r="F223">
        <v>3</v>
      </c>
      <c r="G223" t="s">
        <v>16</v>
      </c>
      <c r="H223" t="s">
        <v>40</v>
      </c>
      <c r="I223">
        <v>63000</v>
      </c>
      <c r="K223">
        <v>26</v>
      </c>
      <c r="L223" t="s">
        <v>18</v>
      </c>
      <c r="M223" t="s">
        <v>30</v>
      </c>
    </row>
    <row r="224" spans="1:13" x14ac:dyDescent="0.3">
      <c r="A224">
        <v>37</v>
      </c>
      <c r="B224" t="s">
        <v>13</v>
      </c>
      <c r="C224" t="s">
        <v>20</v>
      </c>
      <c r="D224" t="s">
        <v>15</v>
      </c>
      <c r="E224">
        <v>12</v>
      </c>
      <c r="F224">
        <v>6</v>
      </c>
      <c r="G224" t="s">
        <v>28</v>
      </c>
      <c r="H224" t="s">
        <v>31</v>
      </c>
      <c r="I224">
        <v>65000</v>
      </c>
      <c r="J224">
        <v>31500</v>
      </c>
      <c r="K224">
        <v>26</v>
      </c>
      <c r="L224" t="s">
        <v>18</v>
      </c>
      <c r="M224" t="s">
        <v>30</v>
      </c>
    </row>
    <row r="225" spans="1:13" x14ac:dyDescent="0.3">
      <c r="A225">
        <v>35</v>
      </c>
      <c r="B225" t="s">
        <v>13</v>
      </c>
      <c r="C225" t="s">
        <v>20</v>
      </c>
      <c r="D225" t="s">
        <v>21</v>
      </c>
      <c r="E225">
        <v>13</v>
      </c>
      <c r="F225">
        <v>5</v>
      </c>
      <c r="G225" t="s">
        <v>16</v>
      </c>
      <c r="H225" t="s">
        <v>31</v>
      </c>
      <c r="I225">
        <v>68000</v>
      </c>
      <c r="J225">
        <v>0</v>
      </c>
      <c r="K225">
        <v>26</v>
      </c>
      <c r="L225" t="s">
        <v>18</v>
      </c>
      <c r="M225" t="s">
        <v>30</v>
      </c>
    </row>
    <row r="226" spans="1:13" x14ac:dyDescent="0.3">
      <c r="A226">
        <v>33</v>
      </c>
      <c r="B226" t="s">
        <v>13</v>
      </c>
      <c r="C226" t="s">
        <v>20</v>
      </c>
      <c r="D226" t="s">
        <v>41</v>
      </c>
      <c r="E226">
        <v>5</v>
      </c>
      <c r="F226">
        <v>5</v>
      </c>
      <c r="G226" t="s">
        <v>28</v>
      </c>
      <c r="H226" t="s">
        <v>318</v>
      </c>
      <c r="I226">
        <v>70000</v>
      </c>
      <c r="J226">
        <v>0</v>
      </c>
      <c r="K226">
        <v>26</v>
      </c>
      <c r="L226" t="s">
        <v>18</v>
      </c>
      <c r="M226" t="s">
        <v>30</v>
      </c>
    </row>
    <row r="227" spans="1:13" x14ac:dyDescent="0.3">
      <c r="A227">
        <v>26</v>
      </c>
      <c r="B227" t="s">
        <v>13</v>
      </c>
      <c r="C227" t="s">
        <v>93</v>
      </c>
      <c r="D227" t="s">
        <v>53</v>
      </c>
      <c r="E227">
        <v>5.5</v>
      </c>
      <c r="F227">
        <v>3</v>
      </c>
      <c r="G227" t="s">
        <v>26</v>
      </c>
      <c r="H227" t="s">
        <v>50</v>
      </c>
      <c r="I227">
        <v>48000</v>
      </c>
      <c r="J227">
        <v>2000</v>
      </c>
      <c r="K227">
        <v>26</v>
      </c>
      <c r="L227" t="s">
        <v>36</v>
      </c>
      <c r="M227" t="s">
        <v>30</v>
      </c>
    </row>
    <row r="228" spans="1:13" x14ac:dyDescent="0.3">
      <c r="A228">
        <v>26</v>
      </c>
      <c r="B228" t="s">
        <v>33</v>
      </c>
      <c r="C228" t="s">
        <v>14</v>
      </c>
      <c r="D228" t="s">
        <v>53</v>
      </c>
      <c r="E228">
        <v>6</v>
      </c>
      <c r="F228">
        <v>2</v>
      </c>
      <c r="G228" t="s">
        <v>28</v>
      </c>
      <c r="H228" t="s">
        <v>50</v>
      </c>
      <c r="I228">
        <v>60000</v>
      </c>
      <c r="J228">
        <v>10000</v>
      </c>
      <c r="K228">
        <v>26</v>
      </c>
      <c r="L228" t="s">
        <v>18</v>
      </c>
      <c r="M228" t="s">
        <v>30</v>
      </c>
    </row>
    <row r="229" spans="1:13" x14ac:dyDescent="0.3">
      <c r="A229">
        <v>26</v>
      </c>
      <c r="B229" t="s">
        <v>13</v>
      </c>
      <c r="C229" t="s">
        <v>20</v>
      </c>
      <c r="D229" t="s">
        <v>372</v>
      </c>
      <c r="E229">
        <v>4</v>
      </c>
      <c r="F229">
        <v>3</v>
      </c>
      <c r="G229" t="s">
        <v>28</v>
      </c>
      <c r="H229" t="s">
        <v>50</v>
      </c>
      <c r="I229">
        <v>55000</v>
      </c>
      <c r="J229">
        <v>0</v>
      </c>
      <c r="K229">
        <v>26</v>
      </c>
      <c r="L229" t="s">
        <v>18</v>
      </c>
      <c r="M229" t="s">
        <v>30</v>
      </c>
    </row>
    <row r="230" spans="1:13" x14ac:dyDescent="0.3">
      <c r="A230">
        <v>38</v>
      </c>
      <c r="B230" t="s">
        <v>13</v>
      </c>
      <c r="C230" t="s">
        <v>20</v>
      </c>
      <c r="D230" t="s">
        <v>15</v>
      </c>
      <c r="E230">
        <v>16</v>
      </c>
      <c r="F230">
        <v>1</v>
      </c>
      <c r="G230" t="s">
        <v>16</v>
      </c>
      <c r="H230" t="s">
        <v>50</v>
      </c>
      <c r="I230">
        <v>65000</v>
      </c>
      <c r="K230">
        <v>26</v>
      </c>
      <c r="L230" t="s">
        <v>18</v>
      </c>
      <c r="M230" t="s">
        <v>30</v>
      </c>
    </row>
    <row r="231" spans="1:13" x14ac:dyDescent="0.3">
      <c r="A231">
        <v>25</v>
      </c>
      <c r="B231" t="s">
        <v>33</v>
      </c>
      <c r="C231" t="s">
        <v>20</v>
      </c>
      <c r="D231" t="s">
        <v>324</v>
      </c>
      <c r="E231">
        <v>2</v>
      </c>
      <c r="F231">
        <v>2</v>
      </c>
      <c r="G231" t="s">
        <v>28</v>
      </c>
      <c r="H231" t="s">
        <v>50</v>
      </c>
      <c r="I231">
        <v>45000</v>
      </c>
      <c r="J231">
        <v>45000</v>
      </c>
      <c r="K231">
        <v>26</v>
      </c>
      <c r="L231" t="s">
        <v>18</v>
      </c>
      <c r="M231" t="s">
        <v>30</v>
      </c>
    </row>
    <row r="232" spans="1:13" x14ac:dyDescent="0.3">
      <c r="A232">
        <v>32</v>
      </c>
      <c r="B232" t="s">
        <v>13</v>
      </c>
      <c r="C232" t="s">
        <v>20</v>
      </c>
      <c r="D232" t="s">
        <v>43</v>
      </c>
      <c r="E232">
        <v>8</v>
      </c>
      <c r="F232">
        <v>2</v>
      </c>
      <c r="G232" t="s">
        <v>16</v>
      </c>
      <c r="H232" t="s">
        <v>80</v>
      </c>
      <c r="I232">
        <v>75000</v>
      </c>
      <c r="K232">
        <v>26</v>
      </c>
      <c r="L232" t="s">
        <v>18</v>
      </c>
      <c r="M232" t="s">
        <v>30</v>
      </c>
    </row>
    <row r="233" spans="1:13" x14ac:dyDescent="0.3">
      <c r="A233">
        <v>36</v>
      </c>
      <c r="B233" t="s">
        <v>13</v>
      </c>
      <c r="C233" t="s">
        <v>20</v>
      </c>
      <c r="D233" t="s">
        <v>69</v>
      </c>
      <c r="E233">
        <v>7</v>
      </c>
      <c r="F233">
        <v>1</v>
      </c>
      <c r="G233" t="s">
        <v>24</v>
      </c>
      <c r="H233" t="s">
        <v>80</v>
      </c>
      <c r="I233">
        <v>80000</v>
      </c>
      <c r="J233">
        <v>95000</v>
      </c>
      <c r="K233">
        <v>26</v>
      </c>
      <c r="L233" t="s">
        <v>18</v>
      </c>
      <c r="M233" t="s">
        <v>30</v>
      </c>
    </row>
    <row r="234" spans="1:13" x14ac:dyDescent="0.3">
      <c r="A234">
        <v>30</v>
      </c>
      <c r="B234" t="s">
        <v>13</v>
      </c>
      <c r="C234" t="s">
        <v>20</v>
      </c>
      <c r="D234" t="s">
        <v>15</v>
      </c>
      <c r="E234">
        <v>9</v>
      </c>
      <c r="F234">
        <v>1</v>
      </c>
      <c r="G234" t="s">
        <v>28</v>
      </c>
      <c r="H234" t="s">
        <v>17</v>
      </c>
      <c r="I234">
        <v>77000</v>
      </c>
      <c r="J234">
        <v>0</v>
      </c>
      <c r="K234">
        <v>26</v>
      </c>
      <c r="L234" t="s">
        <v>18</v>
      </c>
      <c r="M234" t="s">
        <v>30</v>
      </c>
    </row>
    <row r="235" spans="1:13" x14ac:dyDescent="0.3">
      <c r="A235">
        <v>30</v>
      </c>
      <c r="B235" t="s">
        <v>13</v>
      </c>
      <c r="C235" t="s">
        <v>20</v>
      </c>
      <c r="D235" t="s">
        <v>35</v>
      </c>
      <c r="E235">
        <v>5</v>
      </c>
      <c r="F235">
        <v>4</v>
      </c>
      <c r="G235" t="s">
        <v>24</v>
      </c>
      <c r="I235">
        <v>90000</v>
      </c>
      <c r="K235">
        <v>26</v>
      </c>
      <c r="L235" t="s">
        <v>18</v>
      </c>
      <c r="M235" t="s">
        <v>30</v>
      </c>
    </row>
    <row r="236" spans="1:13" x14ac:dyDescent="0.3">
      <c r="A236">
        <v>33</v>
      </c>
      <c r="B236" t="s">
        <v>13</v>
      </c>
      <c r="C236" t="s">
        <v>20</v>
      </c>
      <c r="D236" t="s">
        <v>194</v>
      </c>
      <c r="E236">
        <v>10</v>
      </c>
      <c r="F236">
        <v>2</v>
      </c>
      <c r="G236" t="s">
        <v>24</v>
      </c>
      <c r="I236">
        <v>85000</v>
      </c>
      <c r="K236">
        <v>26</v>
      </c>
      <c r="L236" t="s">
        <v>18</v>
      </c>
      <c r="M236" t="s">
        <v>30</v>
      </c>
    </row>
    <row r="237" spans="1:13" x14ac:dyDescent="0.3">
      <c r="A237">
        <v>28</v>
      </c>
      <c r="B237" t="s">
        <v>33</v>
      </c>
      <c r="C237" t="s">
        <v>20</v>
      </c>
      <c r="D237" t="s">
        <v>38</v>
      </c>
      <c r="E237">
        <v>5</v>
      </c>
      <c r="F237">
        <v>1</v>
      </c>
      <c r="G237" t="s">
        <v>16</v>
      </c>
      <c r="I237">
        <v>60000</v>
      </c>
      <c r="J237">
        <v>0</v>
      </c>
      <c r="K237">
        <v>26</v>
      </c>
      <c r="L237" t="s">
        <v>18</v>
      </c>
      <c r="M237" t="s">
        <v>30</v>
      </c>
    </row>
    <row r="238" spans="1:13" x14ac:dyDescent="0.3">
      <c r="A238">
        <v>34</v>
      </c>
      <c r="B238" t="s">
        <v>13</v>
      </c>
      <c r="C238" t="s">
        <v>20</v>
      </c>
      <c r="D238" t="s">
        <v>15</v>
      </c>
      <c r="E238">
        <v>14</v>
      </c>
      <c r="F238">
        <v>5</v>
      </c>
      <c r="G238" t="s">
        <v>16</v>
      </c>
      <c r="H238" t="s">
        <v>64</v>
      </c>
      <c r="I238">
        <v>72000</v>
      </c>
      <c r="K238">
        <v>26</v>
      </c>
      <c r="L238" t="s">
        <v>18</v>
      </c>
      <c r="M238" t="s">
        <v>23</v>
      </c>
    </row>
    <row r="239" spans="1:13" x14ac:dyDescent="0.3">
      <c r="A239">
        <v>27</v>
      </c>
      <c r="B239" t="s">
        <v>13</v>
      </c>
      <c r="C239" t="s">
        <v>20</v>
      </c>
      <c r="D239" t="s">
        <v>27</v>
      </c>
      <c r="E239">
        <v>7</v>
      </c>
      <c r="F239">
        <v>3.5</v>
      </c>
      <c r="G239" t="s">
        <v>16</v>
      </c>
      <c r="H239" t="s">
        <v>51</v>
      </c>
      <c r="I239">
        <v>80000</v>
      </c>
      <c r="K239">
        <v>26</v>
      </c>
      <c r="L239" t="s">
        <v>18</v>
      </c>
      <c r="M239" t="s">
        <v>23</v>
      </c>
    </row>
    <row r="240" spans="1:13" x14ac:dyDescent="0.3">
      <c r="A240">
        <v>26</v>
      </c>
      <c r="B240" t="s">
        <v>13</v>
      </c>
      <c r="C240" t="s">
        <v>20</v>
      </c>
      <c r="D240" t="s">
        <v>21</v>
      </c>
      <c r="E240">
        <v>2.5</v>
      </c>
      <c r="F240">
        <v>1</v>
      </c>
      <c r="G240" t="s">
        <v>28</v>
      </c>
      <c r="H240" t="s">
        <v>32</v>
      </c>
      <c r="I240">
        <v>60000</v>
      </c>
      <c r="K240">
        <v>26</v>
      </c>
      <c r="L240" t="s">
        <v>18</v>
      </c>
      <c r="M240" t="s">
        <v>23</v>
      </c>
    </row>
    <row r="241" spans="1:13" x14ac:dyDescent="0.3">
      <c r="A241">
        <v>32</v>
      </c>
      <c r="B241" t="s">
        <v>33</v>
      </c>
      <c r="C241" t="s">
        <v>14</v>
      </c>
      <c r="D241" t="s">
        <v>52</v>
      </c>
      <c r="E241">
        <v>8</v>
      </c>
      <c r="F241">
        <v>1</v>
      </c>
      <c r="G241" t="s">
        <v>16</v>
      </c>
      <c r="H241" t="s">
        <v>32</v>
      </c>
      <c r="I241">
        <v>60000</v>
      </c>
      <c r="J241">
        <v>70000</v>
      </c>
      <c r="K241">
        <v>26</v>
      </c>
      <c r="L241" t="s">
        <v>18</v>
      </c>
      <c r="M241" t="s">
        <v>23</v>
      </c>
    </row>
    <row r="242" spans="1:13" x14ac:dyDescent="0.3">
      <c r="A242">
        <v>33</v>
      </c>
      <c r="B242" t="s">
        <v>13</v>
      </c>
      <c r="C242" t="s">
        <v>20</v>
      </c>
      <c r="D242" t="s">
        <v>15</v>
      </c>
      <c r="E242">
        <v>10</v>
      </c>
      <c r="F242">
        <v>3</v>
      </c>
      <c r="G242" t="s">
        <v>24</v>
      </c>
      <c r="H242" t="s">
        <v>55</v>
      </c>
      <c r="I242">
        <v>75000</v>
      </c>
      <c r="J242">
        <v>0</v>
      </c>
      <c r="K242">
        <v>26</v>
      </c>
      <c r="L242" t="s">
        <v>18</v>
      </c>
      <c r="M242" t="s">
        <v>23</v>
      </c>
    </row>
    <row r="243" spans="1:13" x14ac:dyDescent="0.3">
      <c r="A243">
        <v>36</v>
      </c>
      <c r="B243" t="s">
        <v>13</v>
      </c>
      <c r="C243" t="s">
        <v>20</v>
      </c>
      <c r="D243" t="s">
        <v>15</v>
      </c>
      <c r="E243">
        <v>5</v>
      </c>
      <c r="F243">
        <v>1</v>
      </c>
      <c r="G243" t="s">
        <v>28</v>
      </c>
      <c r="H243" t="s">
        <v>55</v>
      </c>
      <c r="I243">
        <v>60000</v>
      </c>
      <c r="J243">
        <v>0</v>
      </c>
      <c r="K243">
        <v>26</v>
      </c>
      <c r="L243" t="s">
        <v>18</v>
      </c>
      <c r="M243" t="s">
        <v>23</v>
      </c>
    </row>
    <row r="244" spans="1:13" x14ac:dyDescent="0.3">
      <c r="A244">
        <v>29</v>
      </c>
      <c r="B244" t="s">
        <v>33</v>
      </c>
      <c r="C244" t="s">
        <v>59</v>
      </c>
      <c r="D244" t="s">
        <v>52</v>
      </c>
      <c r="E244">
        <v>6</v>
      </c>
      <c r="F244">
        <v>2</v>
      </c>
      <c r="G244" t="s">
        <v>28</v>
      </c>
      <c r="H244" t="s">
        <v>55</v>
      </c>
      <c r="I244">
        <v>54000</v>
      </c>
      <c r="K244">
        <v>26</v>
      </c>
      <c r="L244" t="s">
        <v>18</v>
      </c>
      <c r="M244" t="s">
        <v>23</v>
      </c>
    </row>
    <row r="245" spans="1:13" x14ac:dyDescent="0.3">
      <c r="A245">
        <v>29</v>
      </c>
      <c r="B245" t="s">
        <v>13</v>
      </c>
      <c r="C245" t="s">
        <v>14</v>
      </c>
      <c r="D245" t="s">
        <v>25</v>
      </c>
      <c r="E245">
        <v>5</v>
      </c>
      <c r="F245">
        <v>3.5</v>
      </c>
      <c r="G245" t="s">
        <v>28</v>
      </c>
      <c r="H245" t="s">
        <v>55</v>
      </c>
      <c r="I245">
        <v>57000</v>
      </c>
      <c r="K245">
        <v>26</v>
      </c>
      <c r="L245" t="s">
        <v>18</v>
      </c>
      <c r="M245" t="s">
        <v>23</v>
      </c>
    </row>
    <row r="246" spans="1:13" x14ac:dyDescent="0.3">
      <c r="A246">
        <v>29</v>
      </c>
      <c r="B246" t="s">
        <v>13</v>
      </c>
      <c r="C246" t="s">
        <v>20</v>
      </c>
      <c r="D246" t="s">
        <v>43</v>
      </c>
      <c r="E246">
        <v>8</v>
      </c>
      <c r="F246">
        <v>4</v>
      </c>
      <c r="G246" t="s">
        <v>16</v>
      </c>
      <c r="H246" t="s">
        <v>40</v>
      </c>
      <c r="I246">
        <v>65000</v>
      </c>
      <c r="K246">
        <v>26</v>
      </c>
      <c r="L246" t="s">
        <v>18</v>
      </c>
      <c r="M246" t="s">
        <v>23</v>
      </c>
    </row>
    <row r="247" spans="1:13" x14ac:dyDescent="0.3">
      <c r="A247">
        <v>30</v>
      </c>
      <c r="B247" t="s">
        <v>13</v>
      </c>
      <c r="C247" t="s">
        <v>20</v>
      </c>
      <c r="D247" t="s">
        <v>173</v>
      </c>
      <c r="E247">
        <v>10</v>
      </c>
      <c r="F247">
        <v>5</v>
      </c>
      <c r="H247" t="s">
        <v>47</v>
      </c>
      <c r="I247">
        <v>68000</v>
      </c>
      <c r="K247">
        <v>26</v>
      </c>
      <c r="L247" t="s">
        <v>18</v>
      </c>
      <c r="M247" t="s">
        <v>23</v>
      </c>
    </row>
    <row r="248" spans="1:13" x14ac:dyDescent="0.3">
      <c r="A248">
        <v>28</v>
      </c>
      <c r="B248" t="s">
        <v>13</v>
      </c>
      <c r="C248" t="s">
        <v>20</v>
      </c>
      <c r="D248" t="s">
        <v>15</v>
      </c>
      <c r="E248">
        <v>6</v>
      </c>
      <c r="F248">
        <v>2</v>
      </c>
      <c r="G248" t="s">
        <v>28</v>
      </c>
      <c r="H248" t="s">
        <v>31</v>
      </c>
      <c r="I248">
        <v>60000</v>
      </c>
      <c r="J248">
        <v>0</v>
      </c>
      <c r="K248">
        <v>26</v>
      </c>
      <c r="L248" t="s">
        <v>18</v>
      </c>
      <c r="M248" t="s">
        <v>23</v>
      </c>
    </row>
    <row r="249" spans="1:13" x14ac:dyDescent="0.3">
      <c r="A249">
        <v>43</v>
      </c>
      <c r="B249" t="s">
        <v>13</v>
      </c>
      <c r="C249" t="s">
        <v>84</v>
      </c>
      <c r="D249" t="s">
        <v>21</v>
      </c>
      <c r="E249">
        <v>10</v>
      </c>
      <c r="F249">
        <v>7</v>
      </c>
      <c r="G249" t="s">
        <v>16</v>
      </c>
      <c r="H249" t="s">
        <v>31</v>
      </c>
      <c r="I249">
        <v>57600</v>
      </c>
      <c r="J249">
        <v>8000</v>
      </c>
      <c r="K249">
        <v>26</v>
      </c>
      <c r="L249" t="s">
        <v>36</v>
      </c>
      <c r="M249" t="s">
        <v>23</v>
      </c>
    </row>
    <row r="250" spans="1:13" x14ac:dyDescent="0.3">
      <c r="A250">
        <v>36</v>
      </c>
      <c r="B250" t="s">
        <v>13</v>
      </c>
      <c r="C250" t="s">
        <v>20</v>
      </c>
      <c r="D250" t="s">
        <v>21</v>
      </c>
      <c r="E250">
        <v>18</v>
      </c>
      <c r="F250">
        <v>1</v>
      </c>
      <c r="G250" t="s">
        <v>16</v>
      </c>
      <c r="H250" t="s">
        <v>31</v>
      </c>
      <c r="I250">
        <v>65000</v>
      </c>
      <c r="J250">
        <v>70000</v>
      </c>
      <c r="K250">
        <v>26</v>
      </c>
      <c r="L250" t="s">
        <v>18</v>
      </c>
      <c r="M250" t="s">
        <v>23</v>
      </c>
    </row>
    <row r="251" spans="1:13" x14ac:dyDescent="0.3">
      <c r="A251">
        <v>42</v>
      </c>
      <c r="B251" t="s">
        <v>13</v>
      </c>
      <c r="C251" t="s">
        <v>20</v>
      </c>
      <c r="D251" t="s">
        <v>21</v>
      </c>
      <c r="E251">
        <v>19</v>
      </c>
      <c r="F251">
        <v>3</v>
      </c>
      <c r="G251" t="s">
        <v>16</v>
      </c>
      <c r="H251" t="s">
        <v>31</v>
      </c>
      <c r="I251">
        <v>66000</v>
      </c>
      <c r="J251">
        <v>4000</v>
      </c>
      <c r="K251">
        <v>26</v>
      </c>
      <c r="L251" t="s">
        <v>18</v>
      </c>
      <c r="M251" t="s">
        <v>23</v>
      </c>
    </row>
    <row r="252" spans="1:13" x14ac:dyDescent="0.3">
      <c r="A252">
        <v>33</v>
      </c>
      <c r="B252" t="s">
        <v>13</v>
      </c>
      <c r="C252" t="s">
        <v>20</v>
      </c>
      <c r="D252" t="s">
        <v>21</v>
      </c>
      <c r="E252">
        <v>12</v>
      </c>
      <c r="F252">
        <v>2</v>
      </c>
      <c r="G252" t="s">
        <v>16</v>
      </c>
      <c r="H252" t="s">
        <v>31</v>
      </c>
      <c r="I252">
        <v>67000</v>
      </c>
      <c r="K252">
        <v>26</v>
      </c>
      <c r="L252" t="s">
        <v>18</v>
      </c>
      <c r="M252" t="s">
        <v>23</v>
      </c>
    </row>
    <row r="253" spans="1:13" x14ac:dyDescent="0.3">
      <c r="A253">
        <v>36</v>
      </c>
      <c r="B253" t="s">
        <v>13</v>
      </c>
      <c r="C253" t="s">
        <v>20</v>
      </c>
      <c r="D253" t="s">
        <v>15</v>
      </c>
      <c r="E253">
        <v>15</v>
      </c>
      <c r="F253">
        <v>6</v>
      </c>
      <c r="G253" t="s">
        <v>16</v>
      </c>
      <c r="H253" t="s">
        <v>31</v>
      </c>
      <c r="I253">
        <v>70000</v>
      </c>
      <c r="J253">
        <v>2000</v>
      </c>
      <c r="K253">
        <v>26</v>
      </c>
      <c r="L253" t="s">
        <v>18</v>
      </c>
      <c r="M253" t="s">
        <v>23</v>
      </c>
    </row>
    <row r="254" spans="1:13" x14ac:dyDescent="0.3">
      <c r="A254">
        <v>38</v>
      </c>
      <c r="B254" t="s">
        <v>13</v>
      </c>
      <c r="C254" t="s">
        <v>84</v>
      </c>
      <c r="D254" t="s">
        <v>15</v>
      </c>
      <c r="E254">
        <v>11</v>
      </c>
      <c r="F254">
        <v>5</v>
      </c>
      <c r="G254" t="s">
        <v>16</v>
      </c>
      <c r="H254" t="s">
        <v>31</v>
      </c>
      <c r="I254">
        <v>55000</v>
      </c>
      <c r="K254">
        <v>26</v>
      </c>
      <c r="L254" t="s">
        <v>18</v>
      </c>
      <c r="M254" t="s">
        <v>23</v>
      </c>
    </row>
    <row r="255" spans="1:13" x14ac:dyDescent="0.3">
      <c r="A255">
        <v>31</v>
      </c>
      <c r="B255" t="s">
        <v>13</v>
      </c>
      <c r="C255" t="s">
        <v>20</v>
      </c>
      <c r="D255" t="s">
        <v>15</v>
      </c>
      <c r="E255">
        <v>10</v>
      </c>
      <c r="F255">
        <v>4</v>
      </c>
      <c r="G255" t="s">
        <v>24</v>
      </c>
      <c r="H255" t="s">
        <v>50</v>
      </c>
      <c r="I255">
        <v>82000</v>
      </c>
      <c r="K255">
        <v>26</v>
      </c>
      <c r="L255" t="s">
        <v>18</v>
      </c>
      <c r="M255" t="s">
        <v>23</v>
      </c>
    </row>
    <row r="256" spans="1:13" x14ac:dyDescent="0.3">
      <c r="A256">
        <v>33</v>
      </c>
      <c r="B256" t="s">
        <v>13</v>
      </c>
      <c r="C256" t="s">
        <v>20</v>
      </c>
      <c r="D256" t="s">
        <v>35</v>
      </c>
      <c r="E256">
        <v>13</v>
      </c>
      <c r="F256">
        <v>3</v>
      </c>
      <c r="G256" t="s">
        <v>16</v>
      </c>
      <c r="H256" t="s">
        <v>50</v>
      </c>
      <c r="I256">
        <v>85000</v>
      </c>
      <c r="J256">
        <v>5000</v>
      </c>
      <c r="K256">
        <v>26</v>
      </c>
      <c r="L256" t="s">
        <v>18</v>
      </c>
      <c r="M256" t="s">
        <v>23</v>
      </c>
    </row>
    <row r="257" spans="1:13" x14ac:dyDescent="0.3">
      <c r="A257">
        <v>26</v>
      </c>
      <c r="B257" t="s">
        <v>13</v>
      </c>
      <c r="C257" t="s">
        <v>20</v>
      </c>
      <c r="D257" t="s">
        <v>53</v>
      </c>
      <c r="E257">
        <v>5</v>
      </c>
      <c r="F257">
        <v>3</v>
      </c>
      <c r="G257" t="s">
        <v>28</v>
      </c>
      <c r="H257" t="s">
        <v>50</v>
      </c>
      <c r="I257">
        <v>59000</v>
      </c>
      <c r="J257">
        <v>0</v>
      </c>
      <c r="K257">
        <v>26</v>
      </c>
      <c r="L257" t="s">
        <v>18</v>
      </c>
      <c r="M257" t="s">
        <v>23</v>
      </c>
    </row>
    <row r="258" spans="1:13" x14ac:dyDescent="0.3">
      <c r="A258">
        <v>37</v>
      </c>
      <c r="B258" t="s">
        <v>13</v>
      </c>
      <c r="C258" t="s">
        <v>20</v>
      </c>
      <c r="D258" t="s">
        <v>15</v>
      </c>
      <c r="E258">
        <v>8</v>
      </c>
      <c r="F258">
        <v>5</v>
      </c>
      <c r="G258" t="s">
        <v>16</v>
      </c>
      <c r="H258" t="s">
        <v>50</v>
      </c>
      <c r="I258">
        <v>76900</v>
      </c>
      <c r="J258">
        <v>77400</v>
      </c>
      <c r="K258">
        <v>26</v>
      </c>
      <c r="L258" t="s">
        <v>18</v>
      </c>
      <c r="M258" t="s">
        <v>23</v>
      </c>
    </row>
    <row r="259" spans="1:13" x14ac:dyDescent="0.3">
      <c r="A259">
        <v>35</v>
      </c>
      <c r="B259" t="s">
        <v>13</v>
      </c>
      <c r="C259" t="s">
        <v>20</v>
      </c>
      <c r="D259" t="s">
        <v>231</v>
      </c>
      <c r="E259">
        <v>5</v>
      </c>
      <c r="F259">
        <v>5</v>
      </c>
      <c r="G259" t="s">
        <v>28</v>
      </c>
      <c r="H259" t="s">
        <v>124</v>
      </c>
      <c r="I259">
        <v>49000</v>
      </c>
      <c r="J259">
        <v>0</v>
      </c>
      <c r="K259">
        <v>26</v>
      </c>
      <c r="L259" t="s">
        <v>18</v>
      </c>
      <c r="M259" t="s">
        <v>23</v>
      </c>
    </row>
    <row r="260" spans="1:13" x14ac:dyDescent="0.3">
      <c r="A260">
        <v>28</v>
      </c>
      <c r="B260" t="s">
        <v>13</v>
      </c>
      <c r="C260" t="s">
        <v>20</v>
      </c>
      <c r="D260" t="s">
        <v>25</v>
      </c>
      <c r="E260">
        <v>7</v>
      </c>
      <c r="F260">
        <v>5</v>
      </c>
      <c r="G260" t="s">
        <v>28</v>
      </c>
      <c r="H260" t="s">
        <v>247</v>
      </c>
      <c r="I260">
        <v>62000</v>
      </c>
      <c r="J260">
        <v>700</v>
      </c>
      <c r="K260">
        <v>26</v>
      </c>
      <c r="L260" t="s">
        <v>18</v>
      </c>
      <c r="M260" t="s">
        <v>23</v>
      </c>
    </row>
    <row r="261" spans="1:13" x14ac:dyDescent="0.3">
      <c r="A261">
        <v>34</v>
      </c>
      <c r="B261" t="s">
        <v>13</v>
      </c>
      <c r="C261" t="s">
        <v>20</v>
      </c>
      <c r="D261" t="s">
        <v>15</v>
      </c>
      <c r="E261">
        <v>16</v>
      </c>
      <c r="F261">
        <v>5</v>
      </c>
      <c r="G261" t="s">
        <v>24</v>
      </c>
      <c r="H261" t="s">
        <v>22</v>
      </c>
      <c r="I261">
        <v>91000</v>
      </c>
      <c r="K261">
        <v>26</v>
      </c>
      <c r="L261" t="s">
        <v>18</v>
      </c>
      <c r="M261" t="s">
        <v>23</v>
      </c>
    </row>
    <row r="262" spans="1:13" x14ac:dyDescent="0.3">
      <c r="A262">
        <v>31</v>
      </c>
      <c r="B262" t="s">
        <v>13</v>
      </c>
      <c r="C262" t="s">
        <v>20</v>
      </c>
      <c r="D262" t="s">
        <v>231</v>
      </c>
      <c r="E262">
        <v>7</v>
      </c>
      <c r="F262">
        <v>6</v>
      </c>
      <c r="G262" t="s">
        <v>16</v>
      </c>
      <c r="H262" t="s">
        <v>42</v>
      </c>
      <c r="I262">
        <v>83000</v>
      </c>
      <c r="J262">
        <v>20000</v>
      </c>
      <c r="K262">
        <v>26</v>
      </c>
      <c r="L262" t="s">
        <v>18</v>
      </c>
      <c r="M262" t="s">
        <v>23</v>
      </c>
    </row>
    <row r="263" spans="1:13" x14ac:dyDescent="0.3">
      <c r="A263">
        <v>30</v>
      </c>
      <c r="B263" t="s">
        <v>13</v>
      </c>
      <c r="C263" t="s">
        <v>20</v>
      </c>
      <c r="D263" t="s">
        <v>25</v>
      </c>
      <c r="E263">
        <v>4</v>
      </c>
      <c r="F263">
        <v>2</v>
      </c>
      <c r="G263" t="s">
        <v>16</v>
      </c>
      <c r="H263" t="s">
        <v>17</v>
      </c>
      <c r="I263">
        <v>73000</v>
      </c>
      <c r="J263">
        <v>0</v>
      </c>
      <c r="K263">
        <v>26</v>
      </c>
      <c r="L263" t="s">
        <v>18</v>
      </c>
      <c r="M263" t="s">
        <v>23</v>
      </c>
    </row>
    <row r="264" spans="1:13" x14ac:dyDescent="0.3">
      <c r="A264">
        <v>30</v>
      </c>
      <c r="B264" t="s">
        <v>13</v>
      </c>
      <c r="C264" t="s">
        <v>20</v>
      </c>
      <c r="D264" t="s">
        <v>27</v>
      </c>
      <c r="E264">
        <v>7</v>
      </c>
      <c r="F264">
        <v>1</v>
      </c>
      <c r="G264" t="s">
        <v>16</v>
      </c>
      <c r="I264">
        <v>70000</v>
      </c>
      <c r="J264">
        <v>10000</v>
      </c>
      <c r="K264">
        <v>26</v>
      </c>
      <c r="L264" t="s">
        <v>18</v>
      </c>
      <c r="M264" t="s">
        <v>23</v>
      </c>
    </row>
    <row r="265" spans="1:13" x14ac:dyDescent="0.3">
      <c r="A265">
        <v>30</v>
      </c>
      <c r="B265" t="s">
        <v>13</v>
      </c>
      <c r="C265" t="s">
        <v>20</v>
      </c>
      <c r="D265" t="s">
        <v>27</v>
      </c>
      <c r="E265">
        <v>11</v>
      </c>
      <c r="F265">
        <v>2</v>
      </c>
      <c r="G265" t="s">
        <v>16</v>
      </c>
      <c r="I265">
        <v>80000</v>
      </c>
      <c r="K265">
        <v>26</v>
      </c>
      <c r="L265" t="s">
        <v>18</v>
      </c>
      <c r="M265" t="s">
        <v>23</v>
      </c>
    </row>
    <row r="266" spans="1:13" x14ac:dyDescent="0.3">
      <c r="A266">
        <v>35</v>
      </c>
      <c r="B266" t="s">
        <v>33</v>
      </c>
      <c r="C266" t="s">
        <v>20</v>
      </c>
      <c r="D266" t="s">
        <v>41</v>
      </c>
      <c r="E266">
        <v>13</v>
      </c>
      <c r="F266">
        <v>6</v>
      </c>
      <c r="G266" t="s">
        <v>16</v>
      </c>
      <c r="I266">
        <v>85000</v>
      </c>
      <c r="K266">
        <v>26</v>
      </c>
      <c r="L266" t="s">
        <v>18</v>
      </c>
      <c r="M266" t="s">
        <v>23</v>
      </c>
    </row>
    <row r="267" spans="1:13" x14ac:dyDescent="0.3">
      <c r="A267">
        <v>28</v>
      </c>
      <c r="B267" t="s">
        <v>13</v>
      </c>
      <c r="C267" t="s">
        <v>314</v>
      </c>
      <c r="D267" t="s">
        <v>15</v>
      </c>
      <c r="E267">
        <v>6</v>
      </c>
      <c r="F267">
        <v>3</v>
      </c>
      <c r="G267" t="s">
        <v>28</v>
      </c>
      <c r="H267" t="s">
        <v>64</v>
      </c>
      <c r="I267">
        <v>52800</v>
      </c>
      <c r="J267">
        <v>4400</v>
      </c>
      <c r="K267">
        <v>26</v>
      </c>
      <c r="L267" t="s">
        <v>18</v>
      </c>
      <c r="M267" t="s">
        <v>19</v>
      </c>
    </row>
    <row r="268" spans="1:13" x14ac:dyDescent="0.3">
      <c r="A268">
        <v>40</v>
      </c>
      <c r="B268" t="s">
        <v>33</v>
      </c>
      <c r="C268" t="s">
        <v>20</v>
      </c>
      <c r="D268" t="s">
        <v>87</v>
      </c>
      <c r="E268">
        <v>8</v>
      </c>
      <c r="F268">
        <v>8</v>
      </c>
      <c r="G268" t="s">
        <v>16</v>
      </c>
      <c r="H268" t="s">
        <v>64</v>
      </c>
      <c r="I268">
        <v>57000</v>
      </c>
      <c r="J268">
        <v>1500</v>
      </c>
      <c r="K268">
        <v>26</v>
      </c>
      <c r="L268" t="s">
        <v>36</v>
      </c>
      <c r="M268" t="s">
        <v>19</v>
      </c>
    </row>
    <row r="269" spans="1:13" x14ac:dyDescent="0.3">
      <c r="A269">
        <v>36</v>
      </c>
      <c r="B269" t="s">
        <v>33</v>
      </c>
      <c r="C269" t="s">
        <v>20</v>
      </c>
      <c r="D269" t="s">
        <v>27</v>
      </c>
      <c r="E269">
        <v>1</v>
      </c>
      <c r="F269">
        <v>3</v>
      </c>
      <c r="G269" t="s">
        <v>28</v>
      </c>
      <c r="H269" t="s">
        <v>32</v>
      </c>
      <c r="I269">
        <v>60000</v>
      </c>
      <c r="J269">
        <v>5000</v>
      </c>
      <c r="K269">
        <v>26</v>
      </c>
      <c r="L269" t="s">
        <v>18</v>
      </c>
      <c r="M269" t="s">
        <v>19</v>
      </c>
    </row>
    <row r="270" spans="1:13" x14ac:dyDescent="0.3">
      <c r="A270">
        <v>42</v>
      </c>
      <c r="B270" t="s">
        <v>33</v>
      </c>
      <c r="C270" t="s">
        <v>20</v>
      </c>
      <c r="D270" t="s">
        <v>52</v>
      </c>
      <c r="E270">
        <v>5</v>
      </c>
      <c r="F270">
        <v>5</v>
      </c>
      <c r="G270" t="s">
        <v>28</v>
      </c>
      <c r="H270" t="s">
        <v>32</v>
      </c>
      <c r="I270">
        <v>46000</v>
      </c>
      <c r="K270">
        <v>26</v>
      </c>
      <c r="L270" t="s">
        <v>18</v>
      </c>
      <c r="M270" t="s">
        <v>19</v>
      </c>
    </row>
    <row r="271" spans="1:13" x14ac:dyDescent="0.3">
      <c r="A271">
        <v>31</v>
      </c>
      <c r="B271" t="s">
        <v>13</v>
      </c>
      <c r="C271" t="s">
        <v>20</v>
      </c>
      <c r="D271" t="s">
        <v>21</v>
      </c>
      <c r="E271">
        <v>9</v>
      </c>
      <c r="F271">
        <v>5</v>
      </c>
      <c r="G271" t="s">
        <v>16</v>
      </c>
      <c r="H271" t="s">
        <v>32</v>
      </c>
      <c r="I271">
        <v>70000</v>
      </c>
      <c r="J271">
        <v>72000</v>
      </c>
      <c r="K271">
        <v>26</v>
      </c>
      <c r="L271" t="s">
        <v>18</v>
      </c>
      <c r="M271" t="s">
        <v>19</v>
      </c>
    </row>
    <row r="272" spans="1:13" x14ac:dyDescent="0.3">
      <c r="A272">
        <v>24</v>
      </c>
      <c r="B272" t="s">
        <v>13</v>
      </c>
      <c r="C272" t="s">
        <v>70</v>
      </c>
      <c r="D272" t="s">
        <v>25</v>
      </c>
      <c r="E272">
        <v>3</v>
      </c>
      <c r="F272">
        <v>0</v>
      </c>
      <c r="G272" t="s">
        <v>28</v>
      </c>
      <c r="H272" t="s">
        <v>55</v>
      </c>
      <c r="I272">
        <v>44000</v>
      </c>
      <c r="J272">
        <v>3000</v>
      </c>
      <c r="K272">
        <v>26</v>
      </c>
      <c r="L272" t="s">
        <v>18</v>
      </c>
      <c r="M272" t="s">
        <v>19</v>
      </c>
    </row>
    <row r="273" spans="1:13" x14ac:dyDescent="0.3">
      <c r="A273">
        <v>29</v>
      </c>
      <c r="B273" t="s">
        <v>13</v>
      </c>
      <c r="C273" t="s">
        <v>20</v>
      </c>
      <c r="D273" t="s">
        <v>25</v>
      </c>
      <c r="E273">
        <v>3</v>
      </c>
      <c r="F273">
        <v>0</v>
      </c>
      <c r="G273" t="s">
        <v>28</v>
      </c>
      <c r="H273" t="s">
        <v>55</v>
      </c>
      <c r="I273">
        <v>48000</v>
      </c>
      <c r="J273">
        <v>0</v>
      </c>
      <c r="K273">
        <v>26</v>
      </c>
      <c r="L273" t="s">
        <v>18</v>
      </c>
      <c r="M273" t="s">
        <v>19</v>
      </c>
    </row>
    <row r="274" spans="1:13" x14ac:dyDescent="0.3">
      <c r="A274">
        <v>30</v>
      </c>
      <c r="B274" t="s">
        <v>13</v>
      </c>
      <c r="C274" t="s">
        <v>14</v>
      </c>
      <c r="D274" t="s">
        <v>15</v>
      </c>
      <c r="E274">
        <v>8</v>
      </c>
      <c r="F274">
        <v>1</v>
      </c>
      <c r="G274" t="s">
        <v>16</v>
      </c>
      <c r="H274" t="s">
        <v>31</v>
      </c>
      <c r="I274">
        <v>68000</v>
      </c>
      <c r="J274">
        <v>1500</v>
      </c>
      <c r="K274">
        <v>26</v>
      </c>
      <c r="L274" t="s">
        <v>18</v>
      </c>
      <c r="M274" t="s">
        <v>19</v>
      </c>
    </row>
    <row r="275" spans="1:13" x14ac:dyDescent="0.3">
      <c r="A275">
        <v>35</v>
      </c>
      <c r="B275" t="s">
        <v>13</v>
      </c>
      <c r="C275" t="s">
        <v>121</v>
      </c>
      <c r="D275" t="s">
        <v>53</v>
      </c>
      <c r="E275">
        <v>3</v>
      </c>
      <c r="F275">
        <v>3</v>
      </c>
      <c r="G275" t="s">
        <v>28</v>
      </c>
      <c r="H275" t="s">
        <v>50</v>
      </c>
      <c r="I275">
        <v>68000</v>
      </c>
      <c r="J275">
        <v>8000</v>
      </c>
      <c r="K275">
        <v>26</v>
      </c>
      <c r="L275" t="s">
        <v>18</v>
      </c>
      <c r="M275" t="s">
        <v>19</v>
      </c>
    </row>
    <row r="276" spans="1:13" x14ac:dyDescent="0.3">
      <c r="A276">
        <v>28</v>
      </c>
      <c r="B276" t="s">
        <v>13</v>
      </c>
      <c r="C276" t="s">
        <v>20</v>
      </c>
      <c r="D276" t="s">
        <v>53</v>
      </c>
      <c r="E276">
        <v>6</v>
      </c>
      <c r="F276">
        <v>6</v>
      </c>
      <c r="G276" t="s">
        <v>24</v>
      </c>
      <c r="H276" t="s">
        <v>50</v>
      </c>
      <c r="I276">
        <v>78000</v>
      </c>
      <c r="J276">
        <v>0</v>
      </c>
      <c r="K276">
        <v>26</v>
      </c>
      <c r="L276" t="s">
        <v>18</v>
      </c>
      <c r="M276" t="s">
        <v>19</v>
      </c>
    </row>
    <row r="277" spans="1:13" x14ac:dyDescent="0.3">
      <c r="A277">
        <v>30</v>
      </c>
      <c r="B277" t="s">
        <v>13</v>
      </c>
      <c r="C277" t="s">
        <v>333</v>
      </c>
      <c r="D277" t="s">
        <v>148</v>
      </c>
      <c r="E277">
        <v>7</v>
      </c>
      <c r="F277">
        <v>0</v>
      </c>
      <c r="G277" t="s">
        <v>16</v>
      </c>
      <c r="H277" t="s">
        <v>42</v>
      </c>
      <c r="I277">
        <v>68500</v>
      </c>
      <c r="J277">
        <v>70000</v>
      </c>
      <c r="K277">
        <v>26</v>
      </c>
      <c r="L277" t="s">
        <v>18</v>
      </c>
      <c r="M277" t="s">
        <v>19</v>
      </c>
    </row>
    <row r="278" spans="1:13" x14ac:dyDescent="0.3">
      <c r="A278">
        <v>38</v>
      </c>
      <c r="B278" t="s">
        <v>13</v>
      </c>
      <c r="C278" t="s">
        <v>20</v>
      </c>
      <c r="D278" t="s">
        <v>275</v>
      </c>
      <c r="E278">
        <v>18</v>
      </c>
      <c r="F278">
        <v>8</v>
      </c>
      <c r="G278" t="s">
        <v>62</v>
      </c>
      <c r="I278">
        <v>90000</v>
      </c>
      <c r="J278">
        <v>20000</v>
      </c>
      <c r="K278">
        <v>26</v>
      </c>
      <c r="L278" t="s">
        <v>36</v>
      </c>
      <c r="M278" t="s">
        <v>19</v>
      </c>
    </row>
    <row r="279" spans="1:13" x14ac:dyDescent="0.3">
      <c r="A279">
        <v>29</v>
      </c>
      <c r="B279" t="s">
        <v>33</v>
      </c>
      <c r="C279" t="s">
        <v>20</v>
      </c>
      <c r="D279" t="s">
        <v>52</v>
      </c>
      <c r="E279">
        <v>7</v>
      </c>
      <c r="F279">
        <v>1</v>
      </c>
      <c r="G279" t="s">
        <v>28</v>
      </c>
      <c r="I279">
        <v>45000</v>
      </c>
      <c r="J279">
        <v>2000</v>
      </c>
      <c r="K279">
        <v>26</v>
      </c>
      <c r="L279" t="s">
        <v>18</v>
      </c>
      <c r="M279" t="s">
        <v>19</v>
      </c>
    </row>
    <row r="280" spans="1:13" x14ac:dyDescent="0.3">
      <c r="A280">
        <v>35</v>
      </c>
      <c r="B280" t="s">
        <v>13</v>
      </c>
      <c r="C280" t="s">
        <v>20</v>
      </c>
      <c r="D280" t="s">
        <v>15</v>
      </c>
      <c r="E280">
        <v>1</v>
      </c>
      <c r="F280">
        <v>1</v>
      </c>
      <c r="G280" t="s">
        <v>26</v>
      </c>
      <c r="H280" t="s">
        <v>270</v>
      </c>
      <c r="I280">
        <v>30000</v>
      </c>
      <c r="K280">
        <v>26</v>
      </c>
      <c r="L280" t="s">
        <v>36</v>
      </c>
      <c r="M280" t="s">
        <v>67</v>
      </c>
    </row>
    <row r="281" spans="1:13" x14ac:dyDescent="0.3">
      <c r="A281">
        <v>36</v>
      </c>
      <c r="B281" t="s">
        <v>13</v>
      </c>
      <c r="C281" t="s">
        <v>20</v>
      </c>
      <c r="D281" t="s">
        <v>25</v>
      </c>
      <c r="E281">
        <v>12</v>
      </c>
      <c r="F281">
        <v>4</v>
      </c>
      <c r="G281" t="s">
        <v>16</v>
      </c>
      <c r="H281" t="s">
        <v>55</v>
      </c>
      <c r="I281">
        <v>72000</v>
      </c>
      <c r="K281">
        <v>26</v>
      </c>
      <c r="L281" t="s">
        <v>18</v>
      </c>
      <c r="M281" t="s">
        <v>67</v>
      </c>
    </row>
    <row r="282" spans="1:13" x14ac:dyDescent="0.3">
      <c r="A282">
        <v>33</v>
      </c>
      <c r="B282" t="s">
        <v>13</v>
      </c>
      <c r="C282" t="s">
        <v>199</v>
      </c>
      <c r="D282" t="s">
        <v>21</v>
      </c>
      <c r="E282">
        <v>8</v>
      </c>
      <c r="G282" t="s">
        <v>16</v>
      </c>
      <c r="H282" t="s">
        <v>64</v>
      </c>
      <c r="I282">
        <v>75000</v>
      </c>
      <c r="K282">
        <v>27</v>
      </c>
      <c r="L282" t="s">
        <v>18</v>
      </c>
      <c r="M282" s="97" t="s">
        <v>552</v>
      </c>
    </row>
    <row r="283" spans="1:13" x14ac:dyDescent="0.3">
      <c r="A283">
        <v>30</v>
      </c>
      <c r="B283" t="s">
        <v>13</v>
      </c>
      <c r="C283" t="s">
        <v>20</v>
      </c>
      <c r="D283" t="s">
        <v>15</v>
      </c>
      <c r="E283">
        <v>10</v>
      </c>
      <c r="F283">
        <v>4</v>
      </c>
      <c r="G283" t="s">
        <v>16</v>
      </c>
      <c r="H283" t="s">
        <v>32</v>
      </c>
      <c r="I283">
        <v>70000</v>
      </c>
      <c r="J283">
        <v>0</v>
      </c>
      <c r="K283">
        <v>27</v>
      </c>
      <c r="L283" t="s">
        <v>18</v>
      </c>
      <c r="M283" s="97" t="s">
        <v>552</v>
      </c>
    </row>
    <row r="284" spans="1:13" x14ac:dyDescent="0.3">
      <c r="A284">
        <v>34</v>
      </c>
      <c r="B284" t="s">
        <v>13</v>
      </c>
      <c r="C284" t="s">
        <v>14</v>
      </c>
      <c r="D284" t="s">
        <v>25</v>
      </c>
      <c r="E284">
        <v>5</v>
      </c>
      <c r="F284">
        <v>5</v>
      </c>
      <c r="G284" t="s">
        <v>16</v>
      </c>
      <c r="H284" t="s">
        <v>55</v>
      </c>
      <c r="I284">
        <v>73500</v>
      </c>
      <c r="K284">
        <v>27</v>
      </c>
      <c r="L284" t="s">
        <v>18</v>
      </c>
      <c r="M284" s="97" t="s">
        <v>552</v>
      </c>
    </row>
    <row r="285" spans="1:13" x14ac:dyDescent="0.3">
      <c r="A285">
        <v>27</v>
      </c>
      <c r="B285" t="s">
        <v>33</v>
      </c>
      <c r="C285" t="s">
        <v>14</v>
      </c>
      <c r="D285" t="s">
        <v>43</v>
      </c>
      <c r="E285">
        <v>1</v>
      </c>
      <c r="F285">
        <v>1</v>
      </c>
      <c r="G285" t="s">
        <v>26</v>
      </c>
      <c r="H285" t="s">
        <v>40</v>
      </c>
      <c r="I285">
        <v>50000</v>
      </c>
      <c r="J285">
        <v>0</v>
      </c>
      <c r="K285">
        <v>27</v>
      </c>
      <c r="L285" t="s">
        <v>18</v>
      </c>
      <c r="M285" s="97" t="s">
        <v>552</v>
      </c>
    </row>
    <row r="286" spans="1:13" x14ac:dyDescent="0.3">
      <c r="A286">
        <v>32</v>
      </c>
      <c r="B286" t="s">
        <v>33</v>
      </c>
      <c r="C286" t="s">
        <v>14</v>
      </c>
      <c r="D286" t="s">
        <v>35</v>
      </c>
      <c r="E286">
        <v>10</v>
      </c>
      <c r="F286">
        <v>2</v>
      </c>
      <c r="G286" t="s">
        <v>28</v>
      </c>
      <c r="H286" t="s">
        <v>50</v>
      </c>
      <c r="I286">
        <v>75000</v>
      </c>
      <c r="J286">
        <v>0</v>
      </c>
      <c r="K286">
        <v>27</v>
      </c>
      <c r="L286" t="s">
        <v>18</v>
      </c>
      <c r="M286" s="97" t="s">
        <v>552</v>
      </c>
    </row>
    <row r="287" spans="1:13" x14ac:dyDescent="0.3">
      <c r="A287">
        <v>24</v>
      </c>
      <c r="B287" t="s">
        <v>13</v>
      </c>
      <c r="C287" t="s">
        <v>84</v>
      </c>
      <c r="D287" t="s">
        <v>53</v>
      </c>
      <c r="E287">
        <v>1</v>
      </c>
      <c r="F287">
        <v>1</v>
      </c>
      <c r="H287" t="s">
        <v>50</v>
      </c>
      <c r="I287">
        <v>57600</v>
      </c>
      <c r="J287">
        <v>7000</v>
      </c>
      <c r="K287">
        <v>27</v>
      </c>
      <c r="L287" t="s">
        <v>18</v>
      </c>
      <c r="M287" s="97" t="s">
        <v>552</v>
      </c>
    </row>
    <row r="288" spans="1:13" x14ac:dyDescent="0.3">
      <c r="A288">
        <v>27</v>
      </c>
      <c r="B288" t="s">
        <v>13</v>
      </c>
      <c r="C288" t="s">
        <v>70</v>
      </c>
      <c r="D288" t="s">
        <v>15</v>
      </c>
      <c r="E288">
        <v>3</v>
      </c>
      <c r="F288">
        <v>1</v>
      </c>
      <c r="G288" t="s">
        <v>28</v>
      </c>
      <c r="H288" t="s">
        <v>409</v>
      </c>
      <c r="I288">
        <v>52000</v>
      </c>
      <c r="K288">
        <v>27</v>
      </c>
      <c r="L288" t="s">
        <v>36</v>
      </c>
      <c r="M288" s="97" t="s">
        <v>552</v>
      </c>
    </row>
    <row r="289" spans="1:13" x14ac:dyDescent="0.3">
      <c r="A289">
        <v>32</v>
      </c>
      <c r="B289" t="s">
        <v>33</v>
      </c>
      <c r="C289" t="s">
        <v>20</v>
      </c>
      <c r="D289" t="s">
        <v>41</v>
      </c>
      <c r="E289">
        <v>8</v>
      </c>
      <c r="F289">
        <v>8</v>
      </c>
      <c r="G289" t="s">
        <v>78</v>
      </c>
      <c r="I289">
        <v>55000</v>
      </c>
      <c r="K289">
        <v>27</v>
      </c>
      <c r="L289" t="s">
        <v>36</v>
      </c>
      <c r="M289" s="97" t="s">
        <v>552</v>
      </c>
    </row>
    <row r="290" spans="1:13" x14ac:dyDescent="0.3">
      <c r="A290">
        <v>38</v>
      </c>
      <c r="B290" t="s">
        <v>13</v>
      </c>
      <c r="C290" t="s">
        <v>20</v>
      </c>
      <c r="D290" t="s">
        <v>15</v>
      </c>
      <c r="E290">
        <v>16</v>
      </c>
      <c r="F290">
        <v>2</v>
      </c>
      <c r="G290" t="s">
        <v>16</v>
      </c>
      <c r="H290" t="s">
        <v>166</v>
      </c>
      <c r="I290">
        <v>83000</v>
      </c>
      <c r="J290">
        <v>11000</v>
      </c>
      <c r="K290">
        <v>27</v>
      </c>
      <c r="L290" t="s">
        <v>18</v>
      </c>
      <c r="M290" t="s">
        <v>30</v>
      </c>
    </row>
    <row r="291" spans="1:13" x14ac:dyDescent="0.3">
      <c r="A291">
        <v>34</v>
      </c>
      <c r="B291" t="s">
        <v>13</v>
      </c>
      <c r="C291" t="s">
        <v>20</v>
      </c>
      <c r="D291" t="s">
        <v>43</v>
      </c>
      <c r="E291">
        <v>9</v>
      </c>
      <c r="F291">
        <v>2</v>
      </c>
      <c r="G291" t="s">
        <v>16</v>
      </c>
      <c r="H291" t="s">
        <v>79</v>
      </c>
      <c r="I291">
        <v>72000</v>
      </c>
      <c r="J291">
        <v>12</v>
      </c>
      <c r="K291">
        <v>27</v>
      </c>
      <c r="L291" t="s">
        <v>18</v>
      </c>
      <c r="M291" t="s">
        <v>30</v>
      </c>
    </row>
    <row r="292" spans="1:13" x14ac:dyDescent="0.3">
      <c r="A292">
        <v>20</v>
      </c>
      <c r="B292" t="s">
        <v>13</v>
      </c>
      <c r="C292" t="s">
        <v>20</v>
      </c>
      <c r="D292" t="s">
        <v>43</v>
      </c>
      <c r="E292">
        <v>5</v>
      </c>
      <c r="F292">
        <v>2</v>
      </c>
      <c r="G292" t="s">
        <v>24</v>
      </c>
      <c r="H292" t="s">
        <v>64</v>
      </c>
      <c r="I292">
        <v>240000</v>
      </c>
      <c r="J292">
        <v>15000</v>
      </c>
      <c r="K292">
        <v>27</v>
      </c>
      <c r="L292" t="s">
        <v>18</v>
      </c>
      <c r="M292" t="s">
        <v>30</v>
      </c>
    </row>
    <row r="293" spans="1:13" x14ac:dyDescent="0.3">
      <c r="A293">
        <v>31</v>
      </c>
      <c r="B293" t="s">
        <v>13</v>
      </c>
      <c r="C293" t="s">
        <v>187</v>
      </c>
      <c r="D293" t="s">
        <v>15</v>
      </c>
      <c r="E293">
        <v>7</v>
      </c>
      <c r="F293">
        <v>3</v>
      </c>
      <c r="G293" t="s">
        <v>16</v>
      </c>
      <c r="H293" t="s">
        <v>37</v>
      </c>
      <c r="I293">
        <v>50400</v>
      </c>
      <c r="J293">
        <v>50400</v>
      </c>
      <c r="K293">
        <v>27</v>
      </c>
      <c r="L293" t="s">
        <v>18</v>
      </c>
      <c r="M293" t="s">
        <v>30</v>
      </c>
    </row>
    <row r="294" spans="1:13" x14ac:dyDescent="0.3">
      <c r="A294">
        <v>26</v>
      </c>
      <c r="B294" t="s">
        <v>13</v>
      </c>
      <c r="C294" t="s">
        <v>20</v>
      </c>
      <c r="D294" t="s">
        <v>21</v>
      </c>
      <c r="E294">
        <v>6</v>
      </c>
      <c r="F294">
        <v>3</v>
      </c>
      <c r="G294" t="s">
        <v>16</v>
      </c>
      <c r="H294" t="s">
        <v>51</v>
      </c>
      <c r="I294">
        <v>70000</v>
      </c>
      <c r="J294">
        <v>71000</v>
      </c>
      <c r="K294">
        <v>27</v>
      </c>
      <c r="L294" t="s">
        <v>18</v>
      </c>
      <c r="M294" t="s">
        <v>30</v>
      </c>
    </row>
    <row r="295" spans="1:13" x14ac:dyDescent="0.3">
      <c r="A295">
        <v>33</v>
      </c>
      <c r="B295" t="s">
        <v>13</v>
      </c>
      <c r="C295" t="s">
        <v>20</v>
      </c>
      <c r="D295" t="s">
        <v>15</v>
      </c>
      <c r="E295">
        <v>10</v>
      </c>
      <c r="F295">
        <v>1</v>
      </c>
      <c r="G295" t="s">
        <v>28</v>
      </c>
      <c r="H295" t="s">
        <v>46</v>
      </c>
      <c r="I295">
        <v>65000</v>
      </c>
      <c r="K295">
        <v>27</v>
      </c>
      <c r="L295" t="s">
        <v>18</v>
      </c>
      <c r="M295" t="s">
        <v>30</v>
      </c>
    </row>
    <row r="296" spans="1:13" x14ac:dyDescent="0.3">
      <c r="A296">
        <v>34</v>
      </c>
      <c r="B296" t="s">
        <v>13</v>
      </c>
      <c r="C296" t="s">
        <v>20</v>
      </c>
      <c r="D296" t="s">
        <v>43</v>
      </c>
      <c r="E296">
        <v>9</v>
      </c>
      <c r="F296">
        <v>2</v>
      </c>
      <c r="G296" t="s">
        <v>16</v>
      </c>
      <c r="H296" t="s">
        <v>46</v>
      </c>
      <c r="I296">
        <v>80000</v>
      </c>
      <c r="J296">
        <v>10000</v>
      </c>
      <c r="K296">
        <v>27</v>
      </c>
      <c r="L296" t="s">
        <v>18</v>
      </c>
      <c r="M296" t="s">
        <v>30</v>
      </c>
    </row>
    <row r="297" spans="1:13" x14ac:dyDescent="0.3">
      <c r="A297">
        <v>31</v>
      </c>
      <c r="B297" t="s">
        <v>13</v>
      </c>
      <c r="C297" t="s">
        <v>20</v>
      </c>
      <c r="D297" t="s">
        <v>43</v>
      </c>
      <c r="E297">
        <v>7</v>
      </c>
      <c r="F297">
        <v>3.5</v>
      </c>
      <c r="G297" t="s">
        <v>16</v>
      </c>
      <c r="H297" t="s">
        <v>46</v>
      </c>
      <c r="I297">
        <v>80000</v>
      </c>
      <c r="K297">
        <v>27</v>
      </c>
      <c r="L297" t="s">
        <v>18</v>
      </c>
      <c r="M297" t="s">
        <v>30</v>
      </c>
    </row>
    <row r="298" spans="1:13" x14ac:dyDescent="0.3">
      <c r="A298">
        <v>30</v>
      </c>
      <c r="B298" t="s">
        <v>13</v>
      </c>
      <c r="C298" t="s">
        <v>20</v>
      </c>
      <c r="D298" t="s">
        <v>21</v>
      </c>
      <c r="E298">
        <v>5</v>
      </c>
      <c r="F298">
        <v>5</v>
      </c>
      <c r="G298" t="s">
        <v>28</v>
      </c>
      <c r="H298" t="s">
        <v>32</v>
      </c>
      <c r="I298">
        <v>55000</v>
      </c>
      <c r="K298">
        <v>27</v>
      </c>
      <c r="L298" t="s">
        <v>18</v>
      </c>
      <c r="M298" t="s">
        <v>30</v>
      </c>
    </row>
    <row r="299" spans="1:13" x14ac:dyDescent="0.3">
      <c r="A299">
        <v>31</v>
      </c>
      <c r="B299" t="s">
        <v>13</v>
      </c>
      <c r="C299" t="s">
        <v>14</v>
      </c>
      <c r="D299" t="s">
        <v>15</v>
      </c>
      <c r="E299">
        <v>5</v>
      </c>
      <c r="F299">
        <v>2</v>
      </c>
      <c r="G299" t="s">
        <v>28</v>
      </c>
      <c r="H299" t="s">
        <v>32</v>
      </c>
      <c r="I299">
        <v>74000</v>
      </c>
      <c r="J299">
        <v>3000</v>
      </c>
      <c r="K299">
        <v>27</v>
      </c>
      <c r="L299" t="s">
        <v>18</v>
      </c>
      <c r="M299" t="s">
        <v>30</v>
      </c>
    </row>
    <row r="300" spans="1:13" x14ac:dyDescent="0.3">
      <c r="A300">
        <v>29</v>
      </c>
      <c r="B300" t="s">
        <v>13</v>
      </c>
      <c r="C300" t="s">
        <v>20</v>
      </c>
      <c r="D300" t="s">
        <v>21</v>
      </c>
      <c r="E300">
        <v>5</v>
      </c>
      <c r="F300">
        <v>1</v>
      </c>
      <c r="G300" t="s">
        <v>16</v>
      </c>
      <c r="H300" t="s">
        <v>32</v>
      </c>
      <c r="I300">
        <v>70000</v>
      </c>
      <c r="J300">
        <v>0</v>
      </c>
      <c r="K300">
        <v>27</v>
      </c>
      <c r="L300" t="s">
        <v>18</v>
      </c>
      <c r="M300" t="s">
        <v>30</v>
      </c>
    </row>
    <row r="301" spans="1:13" x14ac:dyDescent="0.3">
      <c r="A301">
        <v>33</v>
      </c>
      <c r="B301" t="s">
        <v>13</v>
      </c>
      <c r="C301" t="s">
        <v>20</v>
      </c>
      <c r="D301" t="s">
        <v>15</v>
      </c>
      <c r="E301">
        <v>16</v>
      </c>
      <c r="F301">
        <v>5</v>
      </c>
      <c r="G301" t="s">
        <v>16</v>
      </c>
      <c r="H301" t="s">
        <v>32</v>
      </c>
      <c r="I301">
        <v>83000</v>
      </c>
      <c r="J301">
        <v>17000</v>
      </c>
      <c r="K301">
        <v>27</v>
      </c>
      <c r="L301" t="s">
        <v>18</v>
      </c>
      <c r="M301" t="s">
        <v>30</v>
      </c>
    </row>
    <row r="302" spans="1:13" x14ac:dyDescent="0.3">
      <c r="A302">
        <v>30</v>
      </c>
      <c r="B302" t="s">
        <v>13</v>
      </c>
      <c r="C302" t="s">
        <v>20</v>
      </c>
      <c r="D302" t="s">
        <v>15</v>
      </c>
      <c r="E302">
        <v>6</v>
      </c>
      <c r="F302">
        <v>3</v>
      </c>
      <c r="G302" t="s">
        <v>16</v>
      </c>
      <c r="H302" t="s">
        <v>32</v>
      </c>
      <c r="I302">
        <v>74000</v>
      </c>
      <c r="J302">
        <v>15000</v>
      </c>
      <c r="K302">
        <v>27</v>
      </c>
      <c r="L302" t="s">
        <v>18</v>
      </c>
      <c r="M302" t="s">
        <v>30</v>
      </c>
    </row>
    <row r="303" spans="1:13" x14ac:dyDescent="0.3">
      <c r="A303">
        <v>32</v>
      </c>
      <c r="B303" t="s">
        <v>13</v>
      </c>
      <c r="C303" t="s">
        <v>20</v>
      </c>
      <c r="D303" t="s">
        <v>15</v>
      </c>
      <c r="E303">
        <v>12</v>
      </c>
      <c r="F303">
        <v>1</v>
      </c>
      <c r="G303" t="s">
        <v>16</v>
      </c>
      <c r="H303" t="s">
        <v>32</v>
      </c>
      <c r="I303">
        <v>83000</v>
      </c>
      <c r="J303">
        <v>500</v>
      </c>
      <c r="K303">
        <v>27</v>
      </c>
      <c r="L303" t="s">
        <v>18</v>
      </c>
      <c r="M303" t="s">
        <v>30</v>
      </c>
    </row>
    <row r="304" spans="1:13" x14ac:dyDescent="0.3">
      <c r="A304">
        <v>31</v>
      </c>
      <c r="B304" t="s">
        <v>13</v>
      </c>
      <c r="C304" t="s">
        <v>20</v>
      </c>
      <c r="D304" t="s">
        <v>15</v>
      </c>
      <c r="E304">
        <v>12</v>
      </c>
      <c r="F304">
        <v>2</v>
      </c>
      <c r="G304" t="s">
        <v>16</v>
      </c>
      <c r="H304" t="s">
        <v>32</v>
      </c>
      <c r="I304">
        <v>60000</v>
      </c>
      <c r="K304">
        <v>27</v>
      </c>
      <c r="L304" t="s">
        <v>18</v>
      </c>
      <c r="M304" t="s">
        <v>30</v>
      </c>
    </row>
    <row r="305" spans="1:13" x14ac:dyDescent="0.3">
      <c r="A305">
        <v>31</v>
      </c>
      <c r="B305" t="s">
        <v>13</v>
      </c>
      <c r="C305" t="s">
        <v>20</v>
      </c>
      <c r="D305" t="s">
        <v>15</v>
      </c>
      <c r="E305">
        <v>8</v>
      </c>
      <c r="F305">
        <v>1</v>
      </c>
      <c r="G305" t="s">
        <v>16</v>
      </c>
      <c r="H305" t="s">
        <v>32</v>
      </c>
      <c r="I305">
        <v>77000</v>
      </c>
      <c r="J305">
        <v>0</v>
      </c>
      <c r="K305">
        <v>27</v>
      </c>
      <c r="L305" t="s">
        <v>18</v>
      </c>
      <c r="M305" t="s">
        <v>30</v>
      </c>
    </row>
    <row r="306" spans="1:13" x14ac:dyDescent="0.3">
      <c r="A306">
        <v>30</v>
      </c>
      <c r="B306" t="s">
        <v>13</v>
      </c>
      <c r="C306" t="s">
        <v>20</v>
      </c>
      <c r="D306" t="s">
        <v>25</v>
      </c>
      <c r="E306">
        <v>6</v>
      </c>
      <c r="F306">
        <v>1</v>
      </c>
      <c r="G306" t="s">
        <v>16</v>
      </c>
      <c r="H306" t="s">
        <v>55</v>
      </c>
      <c r="I306">
        <v>79000</v>
      </c>
      <c r="J306">
        <v>10000</v>
      </c>
      <c r="K306">
        <v>27</v>
      </c>
      <c r="L306" t="s">
        <v>18</v>
      </c>
      <c r="M306" t="s">
        <v>30</v>
      </c>
    </row>
    <row r="307" spans="1:13" x14ac:dyDescent="0.3">
      <c r="A307">
        <v>30</v>
      </c>
      <c r="B307" t="s">
        <v>13</v>
      </c>
      <c r="C307" t="s">
        <v>14</v>
      </c>
      <c r="D307" t="s">
        <v>25</v>
      </c>
      <c r="E307">
        <v>4</v>
      </c>
      <c r="F307">
        <v>1</v>
      </c>
      <c r="G307" t="s">
        <v>28</v>
      </c>
      <c r="H307" t="s">
        <v>55</v>
      </c>
      <c r="I307">
        <v>55000</v>
      </c>
      <c r="J307">
        <v>0</v>
      </c>
      <c r="K307">
        <v>27</v>
      </c>
      <c r="L307" t="s">
        <v>18</v>
      </c>
      <c r="M307" t="s">
        <v>30</v>
      </c>
    </row>
    <row r="308" spans="1:13" x14ac:dyDescent="0.3">
      <c r="A308">
        <v>34</v>
      </c>
      <c r="B308" t="s">
        <v>13</v>
      </c>
      <c r="C308" t="s">
        <v>20</v>
      </c>
      <c r="D308" t="s">
        <v>21</v>
      </c>
      <c r="E308">
        <v>12</v>
      </c>
      <c r="F308">
        <v>4</v>
      </c>
      <c r="G308" t="s">
        <v>16</v>
      </c>
      <c r="H308" t="s">
        <v>40</v>
      </c>
      <c r="I308">
        <v>75000</v>
      </c>
      <c r="J308">
        <v>7500</v>
      </c>
      <c r="K308">
        <v>27</v>
      </c>
      <c r="L308" t="s">
        <v>18</v>
      </c>
      <c r="M308" t="s">
        <v>30</v>
      </c>
    </row>
    <row r="309" spans="1:13" x14ac:dyDescent="0.3">
      <c r="A309">
        <v>32</v>
      </c>
      <c r="B309" t="s">
        <v>13</v>
      </c>
      <c r="C309" t="s">
        <v>199</v>
      </c>
      <c r="D309" t="s">
        <v>43</v>
      </c>
      <c r="E309">
        <v>13</v>
      </c>
      <c r="G309" t="s">
        <v>16</v>
      </c>
      <c r="H309" t="s">
        <v>40</v>
      </c>
      <c r="I309">
        <v>85000</v>
      </c>
      <c r="J309">
        <v>89000</v>
      </c>
      <c r="K309">
        <v>27</v>
      </c>
      <c r="L309" t="s">
        <v>18</v>
      </c>
      <c r="M309" t="s">
        <v>30</v>
      </c>
    </row>
    <row r="310" spans="1:13" x14ac:dyDescent="0.3">
      <c r="A310">
        <v>28</v>
      </c>
      <c r="B310" t="s">
        <v>13</v>
      </c>
      <c r="C310" t="s">
        <v>20</v>
      </c>
      <c r="D310" t="s">
        <v>173</v>
      </c>
      <c r="E310">
        <v>6</v>
      </c>
      <c r="F310">
        <v>1.5</v>
      </c>
      <c r="G310" t="s">
        <v>28</v>
      </c>
      <c r="H310" t="s">
        <v>47</v>
      </c>
      <c r="I310">
        <v>66000</v>
      </c>
      <c r="J310">
        <v>122.13</v>
      </c>
      <c r="K310">
        <v>27</v>
      </c>
      <c r="L310" t="s">
        <v>18</v>
      </c>
      <c r="M310" t="s">
        <v>30</v>
      </c>
    </row>
    <row r="311" spans="1:13" x14ac:dyDescent="0.3">
      <c r="A311">
        <v>26</v>
      </c>
      <c r="B311" t="s">
        <v>13</v>
      </c>
      <c r="C311" t="s">
        <v>20</v>
      </c>
      <c r="D311" t="s">
        <v>53</v>
      </c>
      <c r="E311">
        <v>2</v>
      </c>
      <c r="F311">
        <v>1</v>
      </c>
      <c r="G311" t="s">
        <v>26</v>
      </c>
      <c r="H311" t="s">
        <v>50</v>
      </c>
      <c r="I311">
        <v>55000</v>
      </c>
      <c r="J311">
        <v>55000</v>
      </c>
      <c r="K311">
        <v>27</v>
      </c>
      <c r="L311" t="s">
        <v>18</v>
      </c>
      <c r="M311" t="s">
        <v>30</v>
      </c>
    </row>
    <row r="312" spans="1:13" x14ac:dyDescent="0.3">
      <c r="A312">
        <v>30</v>
      </c>
      <c r="B312" t="s">
        <v>13</v>
      </c>
      <c r="C312" t="s">
        <v>20</v>
      </c>
      <c r="D312" t="s">
        <v>21</v>
      </c>
      <c r="E312">
        <v>8</v>
      </c>
      <c r="F312">
        <v>2</v>
      </c>
      <c r="G312" t="s">
        <v>28</v>
      </c>
      <c r="H312" t="s">
        <v>50</v>
      </c>
      <c r="I312">
        <v>74000</v>
      </c>
      <c r="J312">
        <v>11000</v>
      </c>
      <c r="K312">
        <v>27</v>
      </c>
      <c r="L312" t="s">
        <v>18</v>
      </c>
      <c r="M312" t="s">
        <v>30</v>
      </c>
    </row>
    <row r="313" spans="1:13" x14ac:dyDescent="0.3">
      <c r="A313">
        <v>26</v>
      </c>
      <c r="B313" t="s">
        <v>13</v>
      </c>
      <c r="C313" t="s">
        <v>20</v>
      </c>
      <c r="D313" t="s">
        <v>35</v>
      </c>
      <c r="E313">
        <v>2</v>
      </c>
      <c r="F313">
        <v>2</v>
      </c>
      <c r="G313" t="s">
        <v>28</v>
      </c>
      <c r="H313" t="s">
        <v>50</v>
      </c>
      <c r="I313">
        <v>54000</v>
      </c>
      <c r="J313">
        <v>1000</v>
      </c>
      <c r="K313">
        <v>27</v>
      </c>
      <c r="L313" t="s">
        <v>18</v>
      </c>
      <c r="M313" t="s">
        <v>30</v>
      </c>
    </row>
    <row r="314" spans="1:13" x14ac:dyDescent="0.3">
      <c r="A314">
        <v>30</v>
      </c>
      <c r="B314" t="s">
        <v>13</v>
      </c>
      <c r="C314" t="s">
        <v>20</v>
      </c>
      <c r="D314" t="s">
        <v>35</v>
      </c>
      <c r="E314">
        <v>6</v>
      </c>
      <c r="F314">
        <v>1</v>
      </c>
      <c r="G314" t="s">
        <v>28</v>
      </c>
      <c r="H314" t="s">
        <v>50</v>
      </c>
      <c r="I314">
        <v>65000</v>
      </c>
      <c r="J314">
        <v>1000</v>
      </c>
      <c r="K314">
        <v>27</v>
      </c>
      <c r="L314" t="s">
        <v>18</v>
      </c>
      <c r="M314" t="s">
        <v>30</v>
      </c>
    </row>
    <row r="315" spans="1:13" x14ac:dyDescent="0.3">
      <c r="A315">
        <v>26</v>
      </c>
      <c r="B315" t="s">
        <v>13</v>
      </c>
      <c r="C315" t="s">
        <v>20</v>
      </c>
      <c r="D315" t="s">
        <v>53</v>
      </c>
      <c r="E315">
        <v>4</v>
      </c>
      <c r="F315">
        <v>2</v>
      </c>
      <c r="G315" t="s">
        <v>28</v>
      </c>
      <c r="H315" t="s">
        <v>50</v>
      </c>
      <c r="I315">
        <v>60000</v>
      </c>
      <c r="J315">
        <v>6000</v>
      </c>
      <c r="K315">
        <v>27</v>
      </c>
      <c r="L315" t="s">
        <v>18</v>
      </c>
      <c r="M315" t="s">
        <v>30</v>
      </c>
    </row>
    <row r="316" spans="1:13" x14ac:dyDescent="0.3">
      <c r="A316">
        <v>35</v>
      </c>
      <c r="B316" t="s">
        <v>13</v>
      </c>
      <c r="C316" t="s">
        <v>20</v>
      </c>
      <c r="D316" t="s">
        <v>53</v>
      </c>
      <c r="E316">
        <v>12</v>
      </c>
      <c r="F316">
        <v>3.5</v>
      </c>
      <c r="G316" t="s">
        <v>16</v>
      </c>
      <c r="H316" t="s">
        <v>50</v>
      </c>
      <c r="I316">
        <v>77000</v>
      </c>
      <c r="J316">
        <v>12000</v>
      </c>
      <c r="K316">
        <v>27</v>
      </c>
      <c r="L316" t="s">
        <v>18</v>
      </c>
      <c r="M316" t="s">
        <v>30</v>
      </c>
    </row>
    <row r="317" spans="1:13" x14ac:dyDescent="0.3">
      <c r="A317">
        <v>30</v>
      </c>
      <c r="B317" t="s">
        <v>33</v>
      </c>
      <c r="C317" t="s">
        <v>20</v>
      </c>
      <c r="D317" t="s">
        <v>53</v>
      </c>
      <c r="E317">
        <v>6</v>
      </c>
      <c r="F317">
        <v>5</v>
      </c>
      <c r="G317" t="s">
        <v>16</v>
      </c>
      <c r="H317" t="s">
        <v>50</v>
      </c>
      <c r="I317">
        <v>76000</v>
      </c>
      <c r="J317">
        <v>10000</v>
      </c>
      <c r="K317">
        <v>27</v>
      </c>
      <c r="L317" t="s">
        <v>18</v>
      </c>
      <c r="M317" t="s">
        <v>30</v>
      </c>
    </row>
    <row r="318" spans="1:13" x14ac:dyDescent="0.3">
      <c r="A318">
        <v>34</v>
      </c>
      <c r="B318" t="s">
        <v>13</v>
      </c>
      <c r="C318" t="s">
        <v>20</v>
      </c>
      <c r="D318" t="s">
        <v>53</v>
      </c>
      <c r="E318">
        <v>6</v>
      </c>
      <c r="F318">
        <v>4.5</v>
      </c>
      <c r="G318" t="s">
        <v>16</v>
      </c>
      <c r="H318" t="s">
        <v>50</v>
      </c>
      <c r="I318">
        <v>80000</v>
      </c>
      <c r="J318">
        <v>10000</v>
      </c>
      <c r="K318">
        <v>27</v>
      </c>
      <c r="L318" t="s">
        <v>18</v>
      </c>
      <c r="M318" t="s">
        <v>30</v>
      </c>
    </row>
    <row r="319" spans="1:13" x14ac:dyDescent="0.3">
      <c r="A319">
        <v>34</v>
      </c>
      <c r="B319" t="s">
        <v>13</v>
      </c>
      <c r="C319" t="s">
        <v>20</v>
      </c>
      <c r="D319" t="s">
        <v>81</v>
      </c>
      <c r="E319">
        <v>12</v>
      </c>
      <c r="F319">
        <v>3</v>
      </c>
      <c r="G319" t="s">
        <v>16</v>
      </c>
      <c r="H319" t="s">
        <v>50</v>
      </c>
      <c r="I319">
        <v>90000</v>
      </c>
      <c r="K319">
        <v>27</v>
      </c>
      <c r="L319" t="s">
        <v>18</v>
      </c>
      <c r="M319" t="s">
        <v>30</v>
      </c>
    </row>
    <row r="320" spans="1:13" x14ac:dyDescent="0.3">
      <c r="A320">
        <v>29</v>
      </c>
      <c r="B320" t="s">
        <v>13</v>
      </c>
      <c r="C320" t="s">
        <v>20</v>
      </c>
      <c r="D320" t="s">
        <v>15</v>
      </c>
      <c r="E320">
        <v>6</v>
      </c>
      <c r="F320">
        <v>1</v>
      </c>
      <c r="G320" t="s">
        <v>16</v>
      </c>
      <c r="H320" t="s">
        <v>50</v>
      </c>
      <c r="I320">
        <v>70000</v>
      </c>
      <c r="J320">
        <v>10000</v>
      </c>
      <c r="K320">
        <v>27</v>
      </c>
      <c r="L320" t="s">
        <v>18</v>
      </c>
      <c r="M320" t="s">
        <v>30</v>
      </c>
    </row>
    <row r="321" spans="1:13" x14ac:dyDescent="0.3">
      <c r="A321">
        <v>43</v>
      </c>
      <c r="B321" t="s">
        <v>13</v>
      </c>
      <c r="C321" t="s">
        <v>20</v>
      </c>
      <c r="D321" t="s">
        <v>15</v>
      </c>
      <c r="E321">
        <v>20</v>
      </c>
      <c r="F321">
        <v>4</v>
      </c>
      <c r="G321" t="s">
        <v>16</v>
      </c>
      <c r="H321" t="s">
        <v>50</v>
      </c>
      <c r="I321">
        <v>79000</v>
      </c>
      <c r="K321">
        <v>27</v>
      </c>
      <c r="L321" t="s">
        <v>18</v>
      </c>
      <c r="M321" t="s">
        <v>30</v>
      </c>
    </row>
    <row r="322" spans="1:13" x14ac:dyDescent="0.3">
      <c r="A322">
        <v>33</v>
      </c>
      <c r="B322" t="s">
        <v>33</v>
      </c>
      <c r="C322" t="s">
        <v>20</v>
      </c>
      <c r="D322" t="s">
        <v>53</v>
      </c>
      <c r="E322">
        <v>8</v>
      </c>
      <c r="F322">
        <v>4</v>
      </c>
      <c r="G322" t="s">
        <v>16</v>
      </c>
      <c r="H322" t="s">
        <v>50</v>
      </c>
      <c r="I322">
        <v>77000</v>
      </c>
      <c r="J322">
        <v>0</v>
      </c>
      <c r="K322">
        <v>27</v>
      </c>
      <c r="L322" t="s">
        <v>18</v>
      </c>
      <c r="M322" t="s">
        <v>30</v>
      </c>
    </row>
    <row r="323" spans="1:13" x14ac:dyDescent="0.3">
      <c r="A323">
        <v>27</v>
      </c>
      <c r="B323" t="s">
        <v>33</v>
      </c>
      <c r="C323" t="s">
        <v>20</v>
      </c>
      <c r="D323" t="s">
        <v>262</v>
      </c>
      <c r="E323">
        <v>1</v>
      </c>
      <c r="F323">
        <v>1</v>
      </c>
      <c r="G323" t="s">
        <v>28</v>
      </c>
      <c r="H323" t="s">
        <v>50</v>
      </c>
      <c r="I323">
        <v>63000</v>
      </c>
      <c r="J323">
        <v>0</v>
      </c>
      <c r="K323">
        <v>27</v>
      </c>
      <c r="L323" t="s">
        <v>18</v>
      </c>
      <c r="M323" t="s">
        <v>30</v>
      </c>
    </row>
    <row r="324" spans="1:13" x14ac:dyDescent="0.3">
      <c r="A324">
        <v>29</v>
      </c>
      <c r="B324" t="s">
        <v>13</v>
      </c>
      <c r="C324" t="s">
        <v>20</v>
      </c>
      <c r="D324" t="s">
        <v>25</v>
      </c>
      <c r="E324">
        <v>7</v>
      </c>
      <c r="F324">
        <v>2</v>
      </c>
      <c r="G324" t="s">
        <v>16</v>
      </c>
      <c r="H324" t="s">
        <v>56</v>
      </c>
      <c r="I324">
        <v>72000</v>
      </c>
      <c r="J324">
        <v>12000</v>
      </c>
      <c r="K324">
        <v>27</v>
      </c>
      <c r="L324" t="s">
        <v>18</v>
      </c>
      <c r="M324" t="s">
        <v>30</v>
      </c>
    </row>
    <row r="325" spans="1:13" x14ac:dyDescent="0.3">
      <c r="A325">
        <v>35</v>
      </c>
      <c r="B325" t="s">
        <v>13</v>
      </c>
      <c r="C325" t="s">
        <v>20</v>
      </c>
      <c r="D325" t="s">
        <v>25</v>
      </c>
      <c r="E325">
        <v>6</v>
      </c>
      <c r="F325">
        <v>1</v>
      </c>
      <c r="G325" t="s">
        <v>28</v>
      </c>
      <c r="H325" t="s">
        <v>247</v>
      </c>
      <c r="I325">
        <v>66500</v>
      </c>
      <c r="K325">
        <v>27</v>
      </c>
      <c r="L325" t="s">
        <v>18</v>
      </c>
      <c r="M325" t="s">
        <v>30</v>
      </c>
    </row>
    <row r="326" spans="1:13" x14ac:dyDescent="0.3">
      <c r="A326">
        <v>33</v>
      </c>
      <c r="B326" t="s">
        <v>13</v>
      </c>
      <c r="C326" t="s">
        <v>20</v>
      </c>
      <c r="D326" t="s">
        <v>15</v>
      </c>
      <c r="E326">
        <v>13</v>
      </c>
      <c r="F326">
        <v>3</v>
      </c>
      <c r="G326" t="s">
        <v>16</v>
      </c>
      <c r="H326" t="s">
        <v>22</v>
      </c>
      <c r="I326">
        <v>75000</v>
      </c>
      <c r="J326">
        <v>20000</v>
      </c>
      <c r="K326">
        <v>27</v>
      </c>
      <c r="L326" t="s">
        <v>18</v>
      </c>
      <c r="M326" t="s">
        <v>30</v>
      </c>
    </row>
    <row r="327" spans="1:13" x14ac:dyDescent="0.3">
      <c r="A327">
        <v>30</v>
      </c>
      <c r="B327" t="s">
        <v>13</v>
      </c>
      <c r="C327" t="s">
        <v>20</v>
      </c>
      <c r="D327" t="s">
        <v>21</v>
      </c>
      <c r="E327">
        <v>9</v>
      </c>
      <c r="F327">
        <v>1</v>
      </c>
      <c r="G327" t="s">
        <v>16</v>
      </c>
      <c r="H327" t="s">
        <v>71</v>
      </c>
      <c r="I327">
        <v>75000</v>
      </c>
      <c r="J327">
        <v>10000</v>
      </c>
      <c r="K327">
        <v>27</v>
      </c>
      <c r="L327" t="s">
        <v>18</v>
      </c>
      <c r="M327" t="s">
        <v>30</v>
      </c>
    </row>
    <row r="328" spans="1:13" x14ac:dyDescent="0.3">
      <c r="A328">
        <v>25</v>
      </c>
      <c r="B328" t="s">
        <v>13</v>
      </c>
      <c r="C328" t="s">
        <v>20</v>
      </c>
      <c r="D328" t="s">
        <v>35</v>
      </c>
      <c r="E328">
        <v>3</v>
      </c>
      <c r="F328">
        <v>3</v>
      </c>
      <c r="G328" t="s">
        <v>16</v>
      </c>
      <c r="H328" t="s">
        <v>71</v>
      </c>
      <c r="I328">
        <v>65000</v>
      </c>
      <c r="J328">
        <v>10000</v>
      </c>
      <c r="K328">
        <v>27</v>
      </c>
      <c r="L328" t="s">
        <v>18</v>
      </c>
      <c r="M328" t="s">
        <v>30</v>
      </c>
    </row>
    <row r="329" spans="1:13" x14ac:dyDescent="0.3">
      <c r="A329">
        <v>32</v>
      </c>
      <c r="B329" t="s">
        <v>13</v>
      </c>
      <c r="C329" t="s">
        <v>20</v>
      </c>
      <c r="D329" t="s">
        <v>15</v>
      </c>
      <c r="E329">
        <v>11</v>
      </c>
      <c r="F329">
        <v>1</v>
      </c>
      <c r="G329" t="s">
        <v>16</v>
      </c>
      <c r="H329" t="s">
        <v>71</v>
      </c>
      <c r="I329">
        <v>72500</v>
      </c>
      <c r="J329">
        <v>10000</v>
      </c>
      <c r="K329">
        <v>27</v>
      </c>
      <c r="L329" t="s">
        <v>18</v>
      </c>
      <c r="M329" t="s">
        <v>30</v>
      </c>
    </row>
    <row r="330" spans="1:13" x14ac:dyDescent="0.3">
      <c r="A330">
        <v>28</v>
      </c>
      <c r="B330" t="s">
        <v>33</v>
      </c>
      <c r="C330" t="s">
        <v>20</v>
      </c>
      <c r="D330" t="s">
        <v>53</v>
      </c>
      <c r="E330">
        <v>6</v>
      </c>
      <c r="F330">
        <v>1</v>
      </c>
      <c r="G330" t="s">
        <v>16</v>
      </c>
      <c r="H330" t="s">
        <v>42</v>
      </c>
      <c r="I330">
        <v>70000</v>
      </c>
      <c r="J330">
        <v>0</v>
      </c>
      <c r="K330">
        <v>27</v>
      </c>
      <c r="L330" t="s">
        <v>18</v>
      </c>
      <c r="M330" t="s">
        <v>30</v>
      </c>
    </row>
    <row r="331" spans="1:13" x14ac:dyDescent="0.3">
      <c r="A331">
        <v>26</v>
      </c>
      <c r="B331" t="s">
        <v>13</v>
      </c>
      <c r="C331" t="s">
        <v>20</v>
      </c>
      <c r="D331" t="s">
        <v>15</v>
      </c>
      <c r="E331">
        <v>5</v>
      </c>
      <c r="F331">
        <v>2</v>
      </c>
      <c r="G331" t="s">
        <v>28</v>
      </c>
      <c r="H331" t="s">
        <v>80</v>
      </c>
      <c r="I331">
        <v>71000</v>
      </c>
      <c r="K331">
        <v>27</v>
      </c>
      <c r="L331" t="s">
        <v>18</v>
      </c>
      <c r="M331" t="s">
        <v>30</v>
      </c>
    </row>
    <row r="332" spans="1:13" x14ac:dyDescent="0.3">
      <c r="A332">
        <v>31</v>
      </c>
      <c r="B332" t="s">
        <v>13</v>
      </c>
      <c r="C332" t="s">
        <v>20</v>
      </c>
      <c r="D332" t="s">
        <v>43</v>
      </c>
      <c r="E332">
        <v>10</v>
      </c>
      <c r="F332">
        <v>3</v>
      </c>
      <c r="G332" t="s">
        <v>16</v>
      </c>
      <c r="H332" t="s">
        <v>80</v>
      </c>
      <c r="I332">
        <v>80000</v>
      </c>
      <c r="J332">
        <v>13500</v>
      </c>
      <c r="K332">
        <v>27</v>
      </c>
      <c r="L332" t="s">
        <v>18</v>
      </c>
      <c r="M332" t="s">
        <v>30</v>
      </c>
    </row>
    <row r="333" spans="1:13" x14ac:dyDescent="0.3">
      <c r="A333">
        <v>24</v>
      </c>
      <c r="B333" t="s">
        <v>13</v>
      </c>
      <c r="C333" t="s">
        <v>20</v>
      </c>
      <c r="D333" t="s">
        <v>43</v>
      </c>
      <c r="E333">
        <v>3.5</v>
      </c>
      <c r="F333">
        <v>0.25</v>
      </c>
      <c r="G333" t="s">
        <v>28</v>
      </c>
      <c r="H333" t="s">
        <v>80</v>
      </c>
      <c r="I333">
        <v>70000</v>
      </c>
      <c r="K333">
        <v>27</v>
      </c>
      <c r="L333" t="s">
        <v>18</v>
      </c>
      <c r="M333" t="s">
        <v>30</v>
      </c>
    </row>
    <row r="334" spans="1:13" x14ac:dyDescent="0.3">
      <c r="A334">
        <v>25</v>
      </c>
      <c r="B334" t="s">
        <v>13</v>
      </c>
      <c r="C334" t="s">
        <v>20</v>
      </c>
      <c r="D334" t="s">
        <v>43</v>
      </c>
      <c r="E334">
        <v>2</v>
      </c>
      <c r="F334">
        <v>2</v>
      </c>
      <c r="G334" t="s">
        <v>28</v>
      </c>
      <c r="H334" t="s">
        <v>80</v>
      </c>
      <c r="I334">
        <v>44000</v>
      </c>
      <c r="K334">
        <v>27</v>
      </c>
      <c r="L334" t="s">
        <v>18</v>
      </c>
      <c r="M334" t="s">
        <v>30</v>
      </c>
    </row>
    <row r="335" spans="1:13" x14ac:dyDescent="0.3">
      <c r="A335">
        <v>32</v>
      </c>
      <c r="B335" t="s">
        <v>33</v>
      </c>
      <c r="C335" t="s">
        <v>14</v>
      </c>
      <c r="D335" t="s">
        <v>375</v>
      </c>
      <c r="E335">
        <v>2</v>
      </c>
      <c r="F335">
        <v>2</v>
      </c>
      <c r="G335" t="s">
        <v>26</v>
      </c>
      <c r="H335" t="s">
        <v>376</v>
      </c>
      <c r="I335">
        <v>54000</v>
      </c>
      <c r="J335">
        <v>1500</v>
      </c>
      <c r="K335">
        <v>27</v>
      </c>
      <c r="L335" t="s">
        <v>36</v>
      </c>
      <c r="M335" t="s">
        <v>30</v>
      </c>
    </row>
    <row r="336" spans="1:13" x14ac:dyDescent="0.3">
      <c r="A336">
        <v>24</v>
      </c>
      <c r="B336" t="s">
        <v>13</v>
      </c>
      <c r="C336" t="s">
        <v>20</v>
      </c>
      <c r="D336" t="s">
        <v>25</v>
      </c>
      <c r="E336">
        <v>5</v>
      </c>
      <c r="F336">
        <v>1</v>
      </c>
      <c r="G336" t="s">
        <v>16</v>
      </c>
      <c r="H336" t="s">
        <v>17</v>
      </c>
      <c r="I336">
        <v>65000</v>
      </c>
      <c r="K336">
        <v>27</v>
      </c>
      <c r="L336" t="s">
        <v>18</v>
      </c>
      <c r="M336" t="s">
        <v>30</v>
      </c>
    </row>
    <row r="337" spans="1:13" x14ac:dyDescent="0.3">
      <c r="A337">
        <v>30</v>
      </c>
      <c r="B337" t="s">
        <v>13</v>
      </c>
      <c r="C337" t="s">
        <v>20</v>
      </c>
      <c r="D337" t="s">
        <v>53</v>
      </c>
      <c r="E337">
        <v>6</v>
      </c>
      <c r="F337">
        <v>3</v>
      </c>
      <c r="G337" t="s">
        <v>16</v>
      </c>
      <c r="I337">
        <v>72000</v>
      </c>
      <c r="J337">
        <v>85000</v>
      </c>
      <c r="K337">
        <v>27</v>
      </c>
      <c r="L337" t="s">
        <v>18</v>
      </c>
      <c r="M337" t="s">
        <v>30</v>
      </c>
    </row>
    <row r="338" spans="1:13" x14ac:dyDescent="0.3">
      <c r="A338">
        <v>26</v>
      </c>
      <c r="B338" t="s">
        <v>33</v>
      </c>
      <c r="C338" t="s">
        <v>20</v>
      </c>
      <c r="D338" t="s">
        <v>15</v>
      </c>
      <c r="E338">
        <v>6</v>
      </c>
      <c r="F338">
        <v>4</v>
      </c>
      <c r="G338" t="s">
        <v>16</v>
      </c>
      <c r="H338" t="s">
        <v>58</v>
      </c>
      <c r="I338">
        <v>65000</v>
      </c>
      <c r="J338">
        <v>1000</v>
      </c>
      <c r="K338">
        <v>27</v>
      </c>
      <c r="L338" t="s">
        <v>18</v>
      </c>
      <c r="M338" t="s">
        <v>23</v>
      </c>
    </row>
    <row r="339" spans="1:13" x14ac:dyDescent="0.3">
      <c r="A339">
        <v>33</v>
      </c>
      <c r="B339" t="s">
        <v>13</v>
      </c>
      <c r="C339" t="s">
        <v>228</v>
      </c>
      <c r="D339" t="s">
        <v>15</v>
      </c>
      <c r="E339">
        <v>10</v>
      </c>
      <c r="F339">
        <v>1</v>
      </c>
      <c r="G339" t="s">
        <v>28</v>
      </c>
      <c r="H339" t="s">
        <v>64</v>
      </c>
      <c r="I339">
        <v>55000</v>
      </c>
      <c r="J339">
        <v>0</v>
      </c>
      <c r="K339">
        <v>27</v>
      </c>
      <c r="L339" t="s">
        <v>36</v>
      </c>
      <c r="M339" t="s">
        <v>23</v>
      </c>
    </row>
    <row r="340" spans="1:13" x14ac:dyDescent="0.3">
      <c r="A340">
        <v>35</v>
      </c>
      <c r="B340" t="s">
        <v>13</v>
      </c>
      <c r="C340" t="s">
        <v>20</v>
      </c>
      <c r="D340" t="s">
        <v>15</v>
      </c>
      <c r="E340">
        <v>8</v>
      </c>
      <c r="F340">
        <v>1</v>
      </c>
      <c r="G340" t="s">
        <v>16</v>
      </c>
      <c r="H340" t="s">
        <v>152</v>
      </c>
      <c r="I340">
        <v>75000</v>
      </c>
      <c r="K340">
        <v>27</v>
      </c>
      <c r="L340" t="s">
        <v>18</v>
      </c>
      <c r="M340" t="s">
        <v>23</v>
      </c>
    </row>
    <row r="341" spans="1:13" x14ac:dyDescent="0.3">
      <c r="A341">
        <v>29</v>
      </c>
      <c r="B341" t="s">
        <v>13</v>
      </c>
      <c r="C341" t="s">
        <v>20</v>
      </c>
      <c r="D341" t="s">
        <v>69</v>
      </c>
      <c r="E341">
        <v>9</v>
      </c>
      <c r="F341">
        <v>0.1</v>
      </c>
      <c r="G341" t="s">
        <v>24</v>
      </c>
      <c r="H341" t="s">
        <v>51</v>
      </c>
      <c r="I341">
        <v>85000</v>
      </c>
      <c r="K341">
        <v>27</v>
      </c>
      <c r="L341" t="s">
        <v>18</v>
      </c>
      <c r="M341" t="s">
        <v>23</v>
      </c>
    </row>
    <row r="342" spans="1:13" x14ac:dyDescent="0.3">
      <c r="A342">
        <v>29</v>
      </c>
      <c r="B342" t="s">
        <v>13</v>
      </c>
      <c r="C342" t="s">
        <v>20</v>
      </c>
      <c r="D342" t="s">
        <v>15</v>
      </c>
      <c r="E342">
        <v>12</v>
      </c>
      <c r="F342">
        <v>3</v>
      </c>
      <c r="G342" t="s">
        <v>16</v>
      </c>
      <c r="H342" t="s">
        <v>51</v>
      </c>
      <c r="I342">
        <v>75000</v>
      </c>
      <c r="J342">
        <v>75000</v>
      </c>
      <c r="K342">
        <v>27</v>
      </c>
      <c r="L342" t="s">
        <v>18</v>
      </c>
      <c r="M342" t="s">
        <v>23</v>
      </c>
    </row>
    <row r="343" spans="1:13" x14ac:dyDescent="0.3">
      <c r="A343">
        <v>30</v>
      </c>
      <c r="B343" t="s">
        <v>13</v>
      </c>
      <c r="C343" t="s">
        <v>20</v>
      </c>
      <c r="D343" t="s">
        <v>15</v>
      </c>
      <c r="E343">
        <v>10</v>
      </c>
      <c r="F343">
        <v>2</v>
      </c>
      <c r="G343" t="s">
        <v>28</v>
      </c>
      <c r="H343" t="s">
        <v>46</v>
      </c>
      <c r="I343">
        <v>71000</v>
      </c>
      <c r="K343">
        <v>27</v>
      </c>
      <c r="L343" t="s">
        <v>18</v>
      </c>
      <c r="M343" t="s">
        <v>23</v>
      </c>
    </row>
    <row r="344" spans="1:13" x14ac:dyDescent="0.3">
      <c r="A344">
        <v>29</v>
      </c>
      <c r="B344" t="s">
        <v>13</v>
      </c>
      <c r="C344" t="s">
        <v>20</v>
      </c>
      <c r="D344" t="s">
        <v>43</v>
      </c>
      <c r="E344">
        <v>5</v>
      </c>
      <c r="F344">
        <v>4</v>
      </c>
      <c r="G344" t="s">
        <v>16</v>
      </c>
      <c r="H344" t="s">
        <v>46</v>
      </c>
      <c r="I344">
        <v>65000</v>
      </c>
      <c r="K344">
        <v>27</v>
      </c>
      <c r="L344" t="s">
        <v>18</v>
      </c>
      <c r="M344" t="s">
        <v>23</v>
      </c>
    </row>
    <row r="345" spans="1:13" x14ac:dyDescent="0.3">
      <c r="A345">
        <v>31</v>
      </c>
      <c r="B345" t="s">
        <v>13</v>
      </c>
      <c r="C345" t="s">
        <v>20</v>
      </c>
      <c r="D345" t="s">
        <v>69</v>
      </c>
      <c r="E345">
        <v>11</v>
      </c>
      <c r="F345">
        <v>6</v>
      </c>
      <c r="G345" t="s">
        <v>24</v>
      </c>
      <c r="H345" t="s">
        <v>32</v>
      </c>
      <c r="I345">
        <v>80000</v>
      </c>
      <c r="K345">
        <v>27</v>
      </c>
      <c r="L345" t="s">
        <v>18</v>
      </c>
      <c r="M345" t="s">
        <v>23</v>
      </c>
    </row>
    <row r="346" spans="1:13" x14ac:dyDescent="0.3">
      <c r="A346">
        <v>26</v>
      </c>
      <c r="B346" t="s">
        <v>13</v>
      </c>
      <c r="C346" t="s">
        <v>14</v>
      </c>
      <c r="D346" t="s">
        <v>21</v>
      </c>
      <c r="E346">
        <v>7</v>
      </c>
      <c r="F346">
        <v>1.5</v>
      </c>
      <c r="G346" t="s">
        <v>16</v>
      </c>
      <c r="H346" t="s">
        <v>32</v>
      </c>
      <c r="I346">
        <v>78000</v>
      </c>
      <c r="J346">
        <v>4000</v>
      </c>
      <c r="K346">
        <v>27</v>
      </c>
      <c r="L346" t="s">
        <v>18</v>
      </c>
      <c r="M346" t="s">
        <v>23</v>
      </c>
    </row>
    <row r="347" spans="1:13" x14ac:dyDescent="0.3">
      <c r="A347">
        <v>33</v>
      </c>
      <c r="B347" t="s">
        <v>13</v>
      </c>
      <c r="C347" t="s">
        <v>14</v>
      </c>
      <c r="D347" t="s">
        <v>148</v>
      </c>
      <c r="E347">
        <v>10</v>
      </c>
      <c r="F347">
        <v>4</v>
      </c>
      <c r="G347" t="s">
        <v>16</v>
      </c>
      <c r="H347" t="s">
        <v>32</v>
      </c>
      <c r="I347">
        <v>70000</v>
      </c>
      <c r="J347">
        <v>0</v>
      </c>
      <c r="K347">
        <v>27</v>
      </c>
      <c r="L347" t="s">
        <v>18</v>
      </c>
      <c r="M347" t="s">
        <v>23</v>
      </c>
    </row>
    <row r="348" spans="1:13" x14ac:dyDescent="0.3">
      <c r="A348">
        <v>41</v>
      </c>
      <c r="B348" t="s">
        <v>13</v>
      </c>
      <c r="C348" t="s">
        <v>14</v>
      </c>
      <c r="D348" t="s">
        <v>15</v>
      </c>
      <c r="E348">
        <v>19</v>
      </c>
      <c r="F348">
        <v>5</v>
      </c>
      <c r="G348" t="s">
        <v>16</v>
      </c>
      <c r="H348" t="s">
        <v>32</v>
      </c>
      <c r="I348">
        <v>75000</v>
      </c>
      <c r="J348">
        <v>0</v>
      </c>
      <c r="K348">
        <v>27</v>
      </c>
      <c r="L348" t="s">
        <v>18</v>
      </c>
      <c r="M348" t="s">
        <v>23</v>
      </c>
    </row>
    <row r="349" spans="1:13" x14ac:dyDescent="0.3">
      <c r="A349">
        <v>37</v>
      </c>
      <c r="B349" t="s">
        <v>13</v>
      </c>
      <c r="C349" t="s">
        <v>20</v>
      </c>
      <c r="D349" t="s">
        <v>15</v>
      </c>
      <c r="E349">
        <v>16</v>
      </c>
      <c r="F349">
        <v>8</v>
      </c>
      <c r="G349" t="s">
        <v>16</v>
      </c>
      <c r="H349" t="s">
        <v>32</v>
      </c>
      <c r="I349">
        <v>80000</v>
      </c>
      <c r="K349">
        <v>27</v>
      </c>
      <c r="L349" t="s">
        <v>18</v>
      </c>
      <c r="M349" t="s">
        <v>23</v>
      </c>
    </row>
    <row r="350" spans="1:13" x14ac:dyDescent="0.3">
      <c r="A350">
        <v>26</v>
      </c>
      <c r="B350" t="s">
        <v>13</v>
      </c>
      <c r="C350" t="s">
        <v>414</v>
      </c>
      <c r="D350" t="s">
        <v>25</v>
      </c>
      <c r="E350">
        <v>7</v>
      </c>
      <c r="F350">
        <v>7</v>
      </c>
      <c r="G350" t="s">
        <v>28</v>
      </c>
      <c r="H350" t="s">
        <v>55</v>
      </c>
      <c r="I350">
        <v>38350</v>
      </c>
      <c r="J350">
        <v>40950</v>
      </c>
      <c r="K350">
        <v>27</v>
      </c>
      <c r="L350" t="s">
        <v>36</v>
      </c>
      <c r="M350" t="s">
        <v>23</v>
      </c>
    </row>
    <row r="351" spans="1:13" x14ac:dyDescent="0.3">
      <c r="A351">
        <v>32</v>
      </c>
      <c r="B351" t="s">
        <v>33</v>
      </c>
      <c r="C351" t="s">
        <v>20</v>
      </c>
      <c r="D351" t="s">
        <v>15</v>
      </c>
      <c r="E351">
        <v>2</v>
      </c>
      <c r="F351">
        <v>2</v>
      </c>
      <c r="G351" t="s">
        <v>28</v>
      </c>
      <c r="H351" t="s">
        <v>55</v>
      </c>
      <c r="I351">
        <v>63000</v>
      </c>
      <c r="J351">
        <v>3000</v>
      </c>
      <c r="K351">
        <v>27</v>
      </c>
      <c r="L351" t="s">
        <v>18</v>
      </c>
      <c r="M351" t="s">
        <v>23</v>
      </c>
    </row>
    <row r="352" spans="1:13" x14ac:dyDescent="0.3">
      <c r="A352">
        <v>39</v>
      </c>
      <c r="B352" t="s">
        <v>13</v>
      </c>
      <c r="C352" t="s">
        <v>20</v>
      </c>
      <c r="D352" t="s">
        <v>25</v>
      </c>
      <c r="E352">
        <v>10</v>
      </c>
      <c r="F352">
        <v>3</v>
      </c>
      <c r="G352" t="s">
        <v>16</v>
      </c>
      <c r="H352" t="s">
        <v>55</v>
      </c>
      <c r="I352">
        <v>85000</v>
      </c>
      <c r="K352">
        <v>27</v>
      </c>
      <c r="L352" t="s">
        <v>18</v>
      </c>
      <c r="M352" t="s">
        <v>23</v>
      </c>
    </row>
    <row r="353" spans="1:13" x14ac:dyDescent="0.3">
      <c r="A353">
        <v>29</v>
      </c>
      <c r="B353" t="s">
        <v>13</v>
      </c>
      <c r="C353" t="s">
        <v>20</v>
      </c>
      <c r="D353" t="s">
        <v>25</v>
      </c>
      <c r="E353">
        <v>8</v>
      </c>
      <c r="F353">
        <v>7</v>
      </c>
      <c r="G353" t="s">
        <v>16</v>
      </c>
      <c r="H353" t="s">
        <v>55</v>
      </c>
      <c r="I353">
        <v>77250</v>
      </c>
      <c r="J353">
        <v>87250</v>
      </c>
      <c r="K353">
        <v>27</v>
      </c>
      <c r="L353" t="s">
        <v>18</v>
      </c>
      <c r="M353" t="s">
        <v>23</v>
      </c>
    </row>
    <row r="354" spans="1:13" x14ac:dyDescent="0.3">
      <c r="A354">
        <v>24</v>
      </c>
      <c r="B354" t="s">
        <v>13</v>
      </c>
      <c r="C354" t="s">
        <v>20</v>
      </c>
      <c r="D354" t="s">
        <v>27</v>
      </c>
      <c r="E354">
        <v>6</v>
      </c>
      <c r="F354">
        <v>3</v>
      </c>
      <c r="G354" t="s">
        <v>16</v>
      </c>
      <c r="H354" t="s">
        <v>47</v>
      </c>
      <c r="I354">
        <v>75000</v>
      </c>
      <c r="J354">
        <v>10000</v>
      </c>
      <c r="K354">
        <v>27</v>
      </c>
      <c r="L354" t="s">
        <v>18</v>
      </c>
      <c r="M354" t="s">
        <v>23</v>
      </c>
    </row>
    <row r="355" spans="1:13" x14ac:dyDescent="0.3">
      <c r="A355">
        <v>30</v>
      </c>
      <c r="B355" t="s">
        <v>13</v>
      </c>
      <c r="C355" t="s">
        <v>137</v>
      </c>
      <c r="D355" t="s">
        <v>15</v>
      </c>
      <c r="E355">
        <v>4</v>
      </c>
      <c r="F355">
        <v>3</v>
      </c>
      <c r="G355" t="s">
        <v>26</v>
      </c>
      <c r="H355" t="s">
        <v>31</v>
      </c>
      <c r="I355">
        <v>42000</v>
      </c>
      <c r="K355">
        <v>27</v>
      </c>
      <c r="L355" t="s">
        <v>18</v>
      </c>
      <c r="M355" t="s">
        <v>23</v>
      </c>
    </row>
    <row r="356" spans="1:13" x14ac:dyDescent="0.3">
      <c r="A356">
        <v>33</v>
      </c>
      <c r="B356" t="s">
        <v>13</v>
      </c>
      <c r="C356" t="s">
        <v>20</v>
      </c>
      <c r="D356" t="s">
        <v>21</v>
      </c>
      <c r="E356">
        <v>12</v>
      </c>
      <c r="F356">
        <v>6</v>
      </c>
      <c r="G356" t="s">
        <v>24</v>
      </c>
      <c r="H356" t="s">
        <v>31</v>
      </c>
      <c r="I356">
        <v>65000</v>
      </c>
      <c r="K356">
        <v>27</v>
      </c>
      <c r="L356" t="s">
        <v>18</v>
      </c>
      <c r="M356" t="s">
        <v>23</v>
      </c>
    </row>
    <row r="357" spans="1:13" x14ac:dyDescent="0.3">
      <c r="A357">
        <v>35</v>
      </c>
      <c r="B357" t="s">
        <v>13</v>
      </c>
      <c r="C357" t="s">
        <v>20</v>
      </c>
      <c r="D357" t="s">
        <v>21</v>
      </c>
      <c r="E357">
        <v>12</v>
      </c>
      <c r="F357">
        <v>3</v>
      </c>
      <c r="G357" t="s">
        <v>16</v>
      </c>
      <c r="H357" t="s">
        <v>31</v>
      </c>
      <c r="I357">
        <v>54000</v>
      </c>
      <c r="K357">
        <v>27</v>
      </c>
      <c r="L357" t="s">
        <v>18</v>
      </c>
      <c r="M357" t="s">
        <v>23</v>
      </c>
    </row>
    <row r="358" spans="1:13" x14ac:dyDescent="0.3">
      <c r="A358">
        <v>42</v>
      </c>
      <c r="B358" t="s">
        <v>13</v>
      </c>
      <c r="C358" t="s">
        <v>20</v>
      </c>
      <c r="D358" t="s">
        <v>15</v>
      </c>
      <c r="E358">
        <v>20</v>
      </c>
      <c r="F358">
        <v>2</v>
      </c>
      <c r="G358" t="s">
        <v>16</v>
      </c>
      <c r="H358" t="s">
        <v>31</v>
      </c>
      <c r="I358">
        <v>65000</v>
      </c>
      <c r="J358">
        <v>5000</v>
      </c>
      <c r="K358">
        <v>27</v>
      </c>
      <c r="L358" t="s">
        <v>18</v>
      </c>
      <c r="M358" t="s">
        <v>23</v>
      </c>
    </row>
    <row r="359" spans="1:13" x14ac:dyDescent="0.3">
      <c r="A359">
        <v>38</v>
      </c>
      <c r="B359" t="s">
        <v>13</v>
      </c>
      <c r="C359" t="s">
        <v>20</v>
      </c>
      <c r="D359" t="s">
        <v>53</v>
      </c>
      <c r="E359">
        <v>15</v>
      </c>
      <c r="F359">
        <v>2</v>
      </c>
      <c r="G359" t="s">
        <v>62</v>
      </c>
      <c r="H359" t="s">
        <v>50</v>
      </c>
      <c r="I359">
        <v>100000</v>
      </c>
      <c r="J359">
        <v>120000</v>
      </c>
      <c r="K359">
        <v>27</v>
      </c>
      <c r="L359" t="s">
        <v>18</v>
      </c>
      <c r="M359" t="s">
        <v>23</v>
      </c>
    </row>
    <row r="360" spans="1:13" x14ac:dyDescent="0.3">
      <c r="A360">
        <v>38</v>
      </c>
      <c r="B360" t="s">
        <v>13</v>
      </c>
      <c r="C360" t="s">
        <v>20</v>
      </c>
      <c r="D360" t="s">
        <v>53</v>
      </c>
      <c r="E360">
        <v>15</v>
      </c>
      <c r="F360">
        <v>2</v>
      </c>
      <c r="G360" t="s">
        <v>62</v>
      </c>
      <c r="H360" t="s">
        <v>50</v>
      </c>
      <c r="I360">
        <v>100000</v>
      </c>
      <c r="J360">
        <v>120000</v>
      </c>
      <c r="K360">
        <v>27</v>
      </c>
      <c r="L360" t="s">
        <v>18</v>
      </c>
      <c r="M360" t="s">
        <v>23</v>
      </c>
    </row>
    <row r="361" spans="1:13" x14ac:dyDescent="0.3">
      <c r="A361">
        <v>31</v>
      </c>
      <c r="B361" t="s">
        <v>13</v>
      </c>
      <c r="C361" t="s">
        <v>20</v>
      </c>
      <c r="D361" t="s">
        <v>15</v>
      </c>
      <c r="E361">
        <v>7</v>
      </c>
      <c r="F361">
        <v>3</v>
      </c>
      <c r="G361" t="s">
        <v>24</v>
      </c>
      <c r="H361" t="s">
        <v>50</v>
      </c>
      <c r="I361">
        <v>76000</v>
      </c>
      <c r="J361">
        <v>10000</v>
      </c>
      <c r="K361">
        <v>27</v>
      </c>
      <c r="L361" t="s">
        <v>18</v>
      </c>
      <c r="M361" t="s">
        <v>23</v>
      </c>
    </row>
    <row r="362" spans="1:13" x14ac:dyDescent="0.3">
      <c r="A362">
        <v>31</v>
      </c>
      <c r="B362" t="s">
        <v>13</v>
      </c>
      <c r="C362" t="s">
        <v>20</v>
      </c>
      <c r="D362" t="s">
        <v>53</v>
      </c>
      <c r="E362">
        <v>5</v>
      </c>
      <c r="F362">
        <v>3</v>
      </c>
      <c r="G362" t="s">
        <v>28</v>
      </c>
      <c r="H362" t="s">
        <v>50</v>
      </c>
      <c r="I362">
        <v>90000</v>
      </c>
      <c r="J362">
        <v>18000</v>
      </c>
      <c r="K362">
        <v>27</v>
      </c>
      <c r="L362" t="s">
        <v>18</v>
      </c>
      <c r="M362" t="s">
        <v>23</v>
      </c>
    </row>
    <row r="363" spans="1:13" x14ac:dyDescent="0.3">
      <c r="A363">
        <v>28</v>
      </c>
      <c r="B363" t="s">
        <v>33</v>
      </c>
      <c r="C363" t="s">
        <v>20</v>
      </c>
      <c r="D363" t="s">
        <v>53</v>
      </c>
      <c r="E363">
        <v>4</v>
      </c>
      <c r="F363">
        <v>4</v>
      </c>
      <c r="G363" t="s">
        <v>28</v>
      </c>
      <c r="H363" t="s">
        <v>50</v>
      </c>
      <c r="I363">
        <v>65000</v>
      </c>
      <c r="J363">
        <v>4000</v>
      </c>
      <c r="K363">
        <v>27</v>
      </c>
      <c r="L363" t="s">
        <v>18</v>
      </c>
      <c r="M363" t="s">
        <v>23</v>
      </c>
    </row>
    <row r="364" spans="1:13" x14ac:dyDescent="0.3">
      <c r="A364">
        <v>31</v>
      </c>
      <c r="B364" t="s">
        <v>13</v>
      </c>
      <c r="C364" t="s">
        <v>14</v>
      </c>
      <c r="D364" t="s">
        <v>53</v>
      </c>
      <c r="F364">
        <v>2</v>
      </c>
      <c r="G364" t="s">
        <v>28</v>
      </c>
      <c r="H364" t="s">
        <v>50</v>
      </c>
      <c r="I364">
        <v>60000</v>
      </c>
      <c r="J364">
        <v>2000</v>
      </c>
      <c r="K364">
        <v>27</v>
      </c>
      <c r="L364" t="s">
        <v>18</v>
      </c>
      <c r="M364" t="s">
        <v>23</v>
      </c>
    </row>
    <row r="365" spans="1:13" x14ac:dyDescent="0.3">
      <c r="A365">
        <v>28</v>
      </c>
      <c r="B365" t="s">
        <v>13</v>
      </c>
      <c r="C365" t="s">
        <v>20</v>
      </c>
      <c r="D365" t="s">
        <v>35</v>
      </c>
      <c r="E365">
        <v>7</v>
      </c>
      <c r="F365">
        <v>3</v>
      </c>
      <c r="G365" t="s">
        <v>16</v>
      </c>
      <c r="H365" t="s">
        <v>50</v>
      </c>
      <c r="I365">
        <v>90000</v>
      </c>
      <c r="K365">
        <v>27</v>
      </c>
      <c r="L365" t="s">
        <v>18</v>
      </c>
      <c r="M365" t="s">
        <v>23</v>
      </c>
    </row>
    <row r="366" spans="1:13" x14ac:dyDescent="0.3">
      <c r="A366">
        <v>26</v>
      </c>
      <c r="B366" t="s">
        <v>13</v>
      </c>
      <c r="C366" t="s">
        <v>20</v>
      </c>
      <c r="D366" t="s">
        <v>15</v>
      </c>
      <c r="E366">
        <v>5</v>
      </c>
      <c r="F366">
        <v>1</v>
      </c>
      <c r="G366" t="s">
        <v>28</v>
      </c>
      <c r="H366" t="s">
        <v>50</v>
      </c>
      <c r="I366">
        <v>69000</v>
      </c>
      <c r="J366">
        <v>2000</v>
      </c>
      <c r="K366">
        <v>27</v>
      </c>
      <c r="L366" t="s">
        <v>18</v>
      </c>
      <c r="M366" t="s">
        <v>23</v>
      </c>
    </row>
    <row r="367" spans="1:13" x14ac:dyDescent="0.3">
      <c r="A367">
        <v>31</v>
      </c>
      <c r="B367" t="s">
        <v>13</v>
      </c>
      <c r="C367" t="s">
        <v>14</v>
      </c>
      <c r="D367" t="s">
        <v>21</v>
      </c>
      <c r="E367">
        <v>10</v>
      </c>
      <c r="F367">
        <v>7</v>
      </c>
      <c r="G367" t="s">
        <v>16</v>
      </c>
      <c r="H367" t="s">
        <v>22</v>
      </c>
      <c r="I367">
        <v>85000</v>
      </c>
      <c r="J367">
        <v>85000</v>
      </c>
      <c r="K367">
        <v>27</v>
      </c>
      <c r="L367" t="s">
        <v>18</v>
      </c>
      <c r="M367" t="s">
        <v>23</v>
      </c>
    </row>
    <row r="368" spans="1:13" x14ac:dyDescent="0.3">
      <c r="A368">
        <v>31</v>
      </c>
      <c r="B368" t="s">
        <v>33</v>
      </c>
      <c r="C368" t="s">
        <v>20</v>
      </c>
      <c r="D368" t="s">
        <v>72</v>
      </c>
      <c r="E368">
        <v>6</v>
      </c>
      <c r="F368">
        <v>2</v>
      </c>
      <c r="G368" t="s">
        <v>28</v>
      </c>
      <c r="H368" t="s">
        <v>42</v>
      </c>
      <c r="I368">
        <v>60000</v>
      </c>
      <c r="K368">
        <v>27</v>
      </c>
      <c r="L368" t="s">
        <v>18</v>
      </c>
      <c r="M368" t="s">
        <v>23</v>
      </c>
    </row>
    <row r="369" spans="1:13" x14ac:dyDescent="0.3">
      <c r="A369">
        <v>26</v>
      </c>
      <c r="B369" t="s">
        <v>13</v>
      </c>
      <c r="C369" t="s">
        <v>20</v>
      </c>
      <c r="D369" t="s">
        <v>204</v>
      </c>
      <c r="E369">
        <v>7</v>
      </c>
      <c r="F369">
        <v>2</v>
      </c>
      <c r="G369" t="s">
        <v>28</v>
      </c>
      <c r="H369" t="s">
        <v>42</v>
      </c>
      <c r="I369">
        <v>60000</v>
      </c>
      <c r="J369">
        <v>5000</v>
      </c>
      <c r="K369">
        <v>27</v>
      </c>
      <c r="L369" t="s">
        <v>18</v>
      </c>
      <c r="M369" t="s">
        <v>23</v>
      </c>
    </row>
    <row r="370" spans="1:13" x14ac:dyDescent="0.3">
      <c r="A370">
        <v>32</v>
      </c>
      <c r="B370" t="s">
        <v>13</v>
      </c>
      <c r="C370" t="s">
        <v>14</v>
      </c>
      <c r="D370" t="s">
        <v>15</v>
      </c>
      <c r="E370">
        <v>10</v>
      </c>
      <c r="F370">
        <v>3</v>
      </c>
      <c r="G370" t="s">
        <v>24</v>
      </c>
      <c r="H370" t="s">
        <v>80</v>
      </c>
      <c r="I370">
        <v>75000</v>
      </c>
      <c r="J370">
        <v>5000</v>
      </c>
      <c r="K370">
        <v>27</v>
      </c>
      <c r="L370" t="s">
        <v>18</v>
      </c>
      <c r="M370" t="s">
        <v>23</v>
      </c>
    </row>
    <row r="371" spans="1:13" x14ac:dyDescent="0.3">
      <c r="A371">
        <v>24</v>
      </c>
      <c r="B371" t="s">
        <v>13</v>
      </c>
      <c r="C371" t="s">
        <v>20</v>
      </c>
      <c r="D371" t="s">
        <v>25</v>
      </c>
      <c r="E371">
        <v>5</v>
      </c>
      <c r="F371">
        <v>2</v>
      </c>
      <c r="G371" t="s">
        <v>16</v>
      </c>
      <c r="H371" t="s">
        <v>17</v>
      </c>
      <c r="I371">
        <v>68250</v>
      </c>
      <c r="J371">
        <v>0</v>
      </c>
      <c r="K371">
        <v>27</v>
      </c>
      <c r="L371" t="s">
        <v>18</v>
      </c>
      <c r="M371" t="s">
        <v>23</v>
      </c>
    </row>
    <row r="372" spans="1:13" x14ac:dyDescent="0.3">
      <c r="A372">
        <v>26</v>
      </c>
      <c r="B372" t="s">
        <v>13</v>
      </c>
      <c r="C372" t="s">
        <v>34</v>
      </c>
      <c r="D372" t="s">
        <v>15</v>
      </c>
      <c r="E372">
        <v>7</v>
      </c>
      <c r="F372">
        <v>3.5</v>
      </c>
      <c r="G372" t="s">
        <v>16</v>
      </c>
      <c r="H372" t="s">
        <v>17</v>
      </c>
      <c r="I372">
        <v>72000</v>
      </c>
      <c r="K372">
        <v>27</v>
      </c>
      <c r="L372" t="s">
        <v>36</v>
      </c>
      <c r="M372" t="s">
        <v>23</v>
      </c>
    </row>
    <row r="373" spans="1:13" x14ac:dyDescent="0.3">
      <c r="A373">
        <v>31</v>
      </c>
      <c r="B373" t="s">
        <v>33</v>
      </c>
      <c r="C373" t="s">
        <v>20</v>
      </c>
      <c r="D373" t="s">
        <v>132</v>
      </c>
      <c r="E373">
        <v>11</v>
      </c>
      <c r="F373">
        <v>2</v>
      </c>
      <c r="G373" t="s">
        <v>28</v>
      </c>
      <c r="I373">
        <v>32000</v>
      </c>
      <c r="K373">
        <v>27</v>
      </c>
      <c r="L373" t="s">
        <v>18</v>
      </c>
      <c r="M373" t="s">
        <v>23</v>
      </c>
    </row>
    <row r="374" spans="1:13" x14ac:dyDescent="0.3">
      <c r="A374">
        <v>35</v>
      </c>
      <c r="B374" t="s">
        <v>13</v>
      </c>
      <c r="C374" t="s">
        <v>20</v>
      </c>
      <c r="D374" t="s">
        <v>92</v>
      </c>
      <c r="E374">
        <v>14</v>
      </c>
      <c r="F374">
        <v>1</v>
      </c>
      <c r="G374" t="s">
        <v>28</v>
      </c>
      <c r="I374">
        <v>44000</v>
      </c>
      <c r="K374">
        <v>27</v>
      </c>
      <c r="L374" t="s">
        <v>18</v>
      </c>
      <c r="M374" t="s">
        <v>23</v>
      </c>
    </row>
    <row r="375" spans="1:13" x14ac:dyDescent="0.3">
      <c r="A375">
        <v>32</v>
      </c>
      <c r="B375" t="s">
        <v>13</v>
      </c>
      <c r="C375" t="s">
        <v>34</v>
      </c>
      <c r="D375" t="s">
        <v>41</v>
      </c>
      <c r="E375">
        <v>7</v>
      </c>
      <c r="F375">
        <v>2</v>
      </c>
      <c r="G375" t="s">
        <v>16</v>
      </c>
      <c r="I375">
        <v>85000</v>
      </c>
      <c r="J375">
        <v>5000</v>
      </c>
      <c r="K375">
        <v>27</v>
      </c>
      <c r="L375" t="s">
        <v>18</v>
      </c>
      <c r="M375" t="s">
        <v>23</v>
      </c>
    </row>
    <row r="376" spans="1:13" x14ac:dyDescent="0.3">
      <c r="A376">
        <v>30</v>
      </c>
      <c r="B376" t="s">
        <v>33</v>
      </c>
      <c r="C376" t="s">
        <v>20</v>
      </c>
      <c r="D376" t="s">
        <v>15</v>
      </c>
      <c r="E376">
        <v>7</v>
      </c>
      <c r="F376">
        <v>3</v>
      </c>
      <c r="G376" t="s">
        <v>16</v>
      </c>
      <c r="H376" t="s">
        <v>32</v>
      </c>
      <c r="I376">
        <v>60000</v>
      </c>
      <c r="K376">
        <v>27</v>
      </c>
      <c r="L376" t="s">
        <v>18</v>
      </c>
      <c r="M376" t="s">
        <v>19</v>
      </c>
    </row>
    <row r="377" spans="1:13" x14ac:dyDescent="0.3">
      <c r="A377">
        <v>31</v>
      </c>
      <c r="B377" t="s">
        <v>13</v>
      </c>
      <c r="C377" t="s">
        <v>20</v>
      </c>
      <c r="D377" t="s">
        <v>21</v>
      </c>
      <c r="E377">
        <v>9</v>
      </c>
      <c r="F377">
        <v>1</v>
      </c>
      <c r="G377" t="s">
        <v>16</v>
      </c>
      <c r="H377" t="s">
        <v>122</v>
      </c>
      <c r="I377">
        <v>65000</v>
      </c>
      <c r="J377">
        <v>5000</v>
      </c>
      <c r="K377">
        <v>27</v>
      </c>
      <c r="L377" t="s">
        <v>18</v>
      </c>
      <c r="M377" t="s">
        <v>19</v>
      </c>
    </row>
    <row r="378" spans="1:13" x14ac:dyDescent="0.3">
      <c r="A378">
        <v>26</v>
      </c>
      <c r="B378" t="s">
        <v>13</v>
      </c>
      <c r="C378" t="s">
        <v>70</v>
      </c>
      <c r="D378" t="s">
        <v>15</v>
      </c>
      <c r="E378">
        <v>3</v>
      </c>
      <c r="F378">
        <v>1</v>
      </c>
      <c r="G378" t="s">
        <v>28</v>
      </c>
      <c r="H378" t="s">
        <v>50</v>
      </c>
      <c r="I378">
        <v>48000</v>
      </c>
      <c r="K378">
        <v>27</v>
      </c>
      <c r="L378" t="s">
        <v>18</v>
      </c>
      <c r="M378" t="s">
        <v>19</v>
      </c>
    </row>
    <row r="379" spans="1:13" x14ac:dyDescent="0.3">
      <c r="A379">
        <v>42</v>
      </c>
      <c r="B379" t="s">
        <v>13</v>
      </c>
      <c r="C379" t="s">
        <v>20</v>
      </c>
      <c r="D379" t="s">
        <v>15</v>
      </c>
      <c r="E379">
        <v>20</v>
      </c>
      <c r="F379">
        <v>5</v>
      </c>
      <c r="G379" t="s">
        <v>16</v>
      </c>
      <c r="H379" t="s">
        <v>22</v>
      </c>
      <c r="I379">
        <v>80000</v>
      </c>
      <c r="K379">
        <v>27</v>
      </c>
      <c r="L379" t="s">
        <v>36</v>
      </c>
      <c r="M379" t="s">
        <v>19</v>
      </c>
    </row>
    <row r="380" spans="1:13" x14ac:dyDescent="0.3">
      <c r="A380">
        <v>28</v>
      </c>
      <c r="B380" t="s">
        <v>13</v>
      </c>
      <c r="C380" t="s">
        <v>20</v>
      </c>
      <c r="D380" t="s">
        <v>41</v>
      </c>
      <c r="E380">
        <v>3</v>
      </c>
      <c r="F380">
        <v>3</v>
      </c>
      <c r="G380" t="s">
        <v>28</v>
      </c>
      <c r="I380">
        <v>51000</v>
      </c>
      <c r="J380">
        <v>1500</v>
      </c>
      <c r="K380">
        <v>27</v>
      </c>
      <c r="L380" t="s">
        <v>18</v>
      </c>
      <c r="M380" t="s">
        <v>19</v>
      </c>
    </row>
    <row r="381" spans="1:13" x14ac:dyDescent="0.3">
      <c r="A381">
        <v>31</v>
      </c>
      <c r="B381" t="s">
        <v>13</v>
      </c>
      <c r="C381" t="s">
        <v>14</v>
      </c>
      <c r="D381" t="s">
        <v>27</v>
      </c>
      <c r="E381">
        <v>8</v>
      </c>
      <c r="F381">
        <v>2</v>
      </c>
      <c r="I381">
        <v>62000</v>
      </c>
      <c r="J381">
        <v>4000</v>
      </c>
      <c r="K381">
        <v>27</v>
      </c>
      <c r="L381" t="s">
        <v>18</v>
      </c>
      <c r="M381" t="s">
        <v>19</v>
      </c>
    </row>
    <row r="382" spans="1:13" x14ac:dyDescent="0.3">
      <c r="A382">
        <v>35</v>
      </c>
      <c r="B382" t="s">
        <v>13</v>
      </c>
      <c r="C382" t="s">
        <v>20</v>
      </c>
      <c r="D382" t="s">
        <v>15</v>
      </c>
      <c r="E382">
        <v>10</v>
      </c>
      <c r="F382">
        <v>6</v>
      </c>
      <c r="G382" t="s">
        <v>16</v>
      </c>
      <c r="H382" t="s">
        <v>31</v>
      </c>
      <c r="I382">
        <v>78000</v>
      </c>
      <c r="J382">
        <v>78000</v>
      </c>
      <c r="K382">
        <v>27</v>
      </c>
      <c r="L382" t="s">
        <v>36</v>
      </c>
      <c r="M382" t="s">
        <v>67</v>
      </c>
    </row>
    <row r="383" spans="1:13" x14ac:dyDescent="0.3">
      <c r="A383">
        <v>28</v>
      </c>
      <c r="B383" t="s">
        <v>13</v>
      </c>
      <c r="C383" t="s">
        <v>20</v>
      </c>
      <c r="D383" t="s">
        <v>81</v>
      </c>
      <c r="E383">
        <v>5</v>
      </c>
      <c r="F383">
        <v>3</v>
      </c>
      <c r="G383" t="s">
        <v>28</v>
      </c>
      <c r="H383" t="s">
        <v>50</v>
      </c>
      <c r="I383">
        <v>54000</v>
      </c>
      <c r="J383">
        <v>10000</v>
      </c>
      <c r="K383">
        <v>27</v>
      </c>
      <c r="L383" t="s">
        <v>18</v>
      </c>
      <c r="M383" t="s">
        <v>67</v>
      </c>
    </row>
    <row r="384" spans="1:13" x14ac:dyDescent="0.3">
      <c r="A384">
        <v>34</v>
      </c>
      <c r="B384" t="s">
        <v>13</v>
      </c>
      <c r="C384" t="s">
        <v>20</v>
      </c>
      <c r="D384" t="s">
        <v>15</v>
      </c>
      <c r="E384">
        <v>10</v>
      </c>
      <c r="F384">
        <v>2</v>
      </c>
      <c r="G384" t="s">
        <v>16</v>
      </c>
      <c r="H384" t="s">
        <v>58</v>
      </c>
      <c r="I384">
        <v>60000</v>
      </c>
      <c r="J384">
        <v>0</v>
      </c>
      <c r="K384">
        <v>28</v>
      </c>
      <c r="L384" t="s">
        <v>18</v>
      </c>
      <c r="M384" s="97" t="s">
        <v>552</v>
      </c>
    </row>
    <row r="385" spans="1:13" x14ac:dyDescent="0.3">
      <c r="A385">
        <v>33</v>
      </c>
      <c r="B385" t="s">
        <v>13</v>
      </c>
      <c r="C385" t="s">
        <v>14</v>
      </c>
      <c r="D385" t="s">
        <v>25</v>
      </c>
      <c r="E385">
        <v>14</v>
      </c>
      <c r="F385">
        <v>8</v>
      </c>
      <c r="G385" t="s">
        <v>16</v>
      </c>
      <c r="H385" t="s">
        <v>141</v>
      </c>
      <c r="I385">
        <v>80000</v>
      </c>
      <c r="K385">
        <v>28</v>
      </c>
      <c r="L385" t="s">
        <v>36</v>
      </c>
      <c r="M385" s="97" t="s">
        <v>552</v>
      </c>
    </row>
    <row r="386" spans="1:13" x14ac:dyDescent="0.3">
      <c r="A386">
        <v>33</v>
      </c>
      <c r="B386" t="s">
        <v>13</v>
      </c>
      <c r="C386" t="s">
        <v>70</v>
      </c>
      <c r="D386" t="s">
        <v>15</v>
      </c>
      <c r="E386">
        <v>8</v>
      </c>
      <c r="F386">
        <v>5</v>
      </c>
      <c r="G386" t="s">
        <v>16</v>
      </c>
      <c r="H386" t="s">
        <v>64</v>
      </c>
      <c r="I386">
        <v>67000</v>
      </c>
      <c r="J386">
        <v>6000</v>
      </c>
      <c r="K386">
        <v>28</v>
      </c>
      <c r="L386" t="s">
        <v>18</v>
      </c>
      <c r="M386" s="97" t="s">
        <v>552</v>
      </c>
    </row>
    <row r="387" spans="1:13" x14ac:dyDescent="0.3">
      <c r="A387">
        <v>27</v>
      </c>
      <c r="B387" t="s">
        <v>13</v>
      </c>
      <c r="C387" t="s">
        <v>14</v>
      </c>
      <c r="D387" t="s">
        <v>15</v>
      </c>
      <c r="E387">
        <v>8</v>
      </c>
      <c r="F387">
        <v>4</v>
      </c>
      <c r="G387" t="s">
        <v>16</v>
      </c>
      <c r="H387" t="s">
        <v>37</v>
      </c>
      <c r="I387">
        <v>52000</v>
      </c>
      <c r="K387">
        <v>28</v>
      </c>
      <c r="L387" t="s">
        <v>18</v>
      </c>
      <c r="M387" s="97" t="s">
        <v>552</v>
      </c>
    </row>
    <row r="388" spans="1:13" x14ac:dyDescent="0.3">
      <c r="A388">
        <v>24</v>
      </c>
      <c r="B388" t="s">
        <v>13</v>
      </c>
      <c r="C388" t="s">
        <v>207</v>
      </c>
      <c r="D388" t="s">
        <v>15</v>
      </c>
      <c r="E388">
        <v>3</v>
      </c>
      <c r="F388">
        <v>0</v>
      </c>
      <c r="G388" t="s">
        <v>26</v>
      </c>
      <c r="H388" t="s">
        <v>32</v>
      </c>
      <c r="I388">
        <v>30000</v>
      </c>
      <c r="J388">
        <v>0</v>
      </c>
      <c r="K388">
        <v>28</v>
      </c>
      <c r="L388" t="s">
        <v>18</v>
      </c>
      <c r="M388" s="97" t="s">
        <v>552</v>
      </c>
    </row>
    <row r="389" spans="1:13" x14ac:dyDescent="0.3">
      <c r="A389">
        <v>45</v>
      </c>
      <c r="B389" t="s">
        <v>33</v>
      </c>
      <c r="C389" t="s">
        <v>20</v>
      </c>
      <c r="D389" t="s">
        <v>41</v>
      </c>
      <c r="E389">
        <v>15</v>
      </c>
      <c r="F389">
        <v>7</v>
      </c>
      <c r="G389" t="s">
        <v>24</v>
      </c>
      <c r="H389" t="s">
        <v>32</v>
      </c>
      <c r="I389">
        <v>52000</v>
      </c>
      <c r="K389">
        <v>28</v>
      </c>
      <c r="L389" t="s">
        <v>18</v>
      </c>
      <c r="M389" s="97" t="s">
        <v>552</v>
      </c>
    </row>
    <row r="390" spans="1:13" x14ac:dyDescent="0.3">
      <c r="A390">
        <v>28</v>
      </c>
      <c r="B390" t="s">
        <v>13</v>
      </c>
      <c r="C390" t="s">
        <v>20</v>
      </c>
      <c r="D390" t="s">
        <v>15</v>
      </c>
      <c r="E390">
        <v>6</v>
      </c>
      <c r="F390">
        <v>2</v>
      </c>
      <c r="G390" t="s">
        <v>16</v>
      </c>
      <c r="H390" t="s">
        <v>32</v>
      </c>
      <c r="I390">
        <v>65000</v>
      </c>
      <c r="J390">
        <v>75000</v>
      </c>
      <c r="K390">
        <v>28</v>
      </c>
      <c r="L390" t="s">
        <v>18</v>
      </c>
      <c r="M390" s="97" t="s">
        <v>552</v>
      </c>
    </row>
    <row r="391" spans="1:13" x14ac:dyDescent="0.3">
      <c r="A391">
        <v>33</v>
      </c>
      <c r="B391" t="s">
        <v>13</v>
      </c>
      <c r="C391" t="s">
        <v>34</v>
      </c>
      <c r="D391" t="s">
        <v>15</v>
      </c>
      <c r="E391">
        <v>11</v>
      </c>
      <c r="F391">
        <v>5</v>
      </c>
      <c r="G391" t="s">
        <v>16</v>
      </c>
      <c r="H391" t="s">
        <v>32</v>
      </c>
      <c r="I391">
        <v>65000</v>
      </c>
      <c r="K391">
        <v>28</v>
      </c>
      <c r="L391" t="s">
        <v>18</v>
      </c>
      <c r="M391" s="97" t="s">
        <v>552</v>
      </c>
    </row>
    <row r="392" spans="1:13" x14ac:dyDescent="0.3">
      <c r="A392">
        <v>28</v>
      </c>
      <c r="B392" t="s">
        <v>13</v>
      </c>
      <c r="C392" t="s">
        <v>14</v>
      </c>
      <c r="D392" t="s">
        <v>25</v>
      </c>
      <c r="E392">
        <v>5</v>
      </c>
      <c r="F392">
        <v>5</v>
      </c>
      <c r="G392" t="s">
        <v>28</v>
      </c>
      <c r="H392" t="s">
        <v>55</v>
      </c>
      <c r="I392">
        <v>72000</v>
      </c>
      <c r="K392">
        <v>28</v>
      </c>
      <c r="L392" t="s">
        <v>36</v>
      </c>
      <c r="M392" s="97" t="s">
        <v>552</v>
      </c>
    </row>
    <row r="393" spans="1:13" x14ac:dyDescent="0.3">
      <c r="A393">
        <v>37</v>
      </c>
      <c r="B393" t="s">
        <v>13</v>
      </c>
      <c r="C393" t="s">
        <v>20</v>
      </c>
      <c r="D393" t="s">
        <v>21</v>
      </c>
      <c r="E393">
        <v>12</v>
      </c>
      <c r="F393">
        <v>2.6</v>
      </c>
      <c r="G393" t="s">
        <v>24</v>
      </c>
      <c r="H393" t="s">
        <v>40</v>
      </c>
      <c r="I393">
        <v>90000</v>
      </c>
      <c r="K393">
        <v>28</v>
      </c>
      <c r="L393" t="s">
        <v>18</v>
      </c>
      <c r="M393" s="97" t="s">
        <v>552</v>
      </c>
    </row>
    <row r="394" spans="1:13" x14ac:dyDescent="0.3">
      <c r="A394">
        <v>37</v>
      </c>
      <c r="B394" t="s">
        <v>33</v>
      </c>
      <c r="C394" t="s">
        <v>20</v>
      </c>
      <c r="D394" t="s">
        <v>53</v>
      </c>
      <c r="E394">
        <v>7</v>
      </c>
      <c r="F394">
        <v>2</v>
      </c>
      <c r="G394" t="s">
        <v>62</v>
      </c>
      <c r="H394" t="s">
        <v>50</v>
      </c>
      <c r="I394">
        <v>75000</v>
      </c>
      <c r="J394">
        <v>16000</v>
      </c>
      <c r="K394">
        <v>28</v>
      </c>
      <c r="L394" t="s">
        <v>18</v>
      </c>
      <c r="M394" s="97" t="s">
        <v>552</v>
      </c>
    </row>
    <row r="395" spans="1:13" x14ac:dyDescent="0.3">
      <c r="A395">
        <v>25</v>
      </c>
      <c r="B395" t="s">
        <v>13</v>
      </c>
      <c r="C395" t="s">
        <v>34</v>
      </c>
      <c r="D395" t="s">
        <v>53</v>
      </c>
      <c r="E395">
        <v>2</v>
      </c>
      <c r="F395">
        <v>2</v>
      </c>
      <c r="G395" t="s">
        <v>28</v>
      </c>
      <c r="H395" t="s">
        <v>50</v>
      </c>
      <c r="I395">
        <v>48000</v>
      </c>
      <c r="J395">
        <v>5000</v>
      </c>
      <c r="K395">
        <v>28</v>
      </c>
      <c r="L395" t="s">
        <v>36</v>
      </c>
      <c r="M395" s="97" t="s">
        <v>552</v>
      </c>
    </row>
    <row r="396" spans="1:13" x14ac:dyDescent="0.3">
      <c r="A396">
        <v>25</v>
      </c>
      <c r="B396" t="s">
        <v>13</v>
      </c>
      <c r="C396" t="s">
        <v>34</v>
      </c>
      <c r="D396" t="s">
        <v>81</v>
      </c>
      <c r="E396">
        <v>2</v>
      </c>
      <c r="F396">
        <v>2</v>
      </c>
      <c r="G396" t="s">
        <v>28</v>
      </c>
      <c r="H396" t="s">
        <v>50</v>
      </c>
      <c r="I396">
        <v>60000</v>
      </c>
      <c r="J396">
        <v>65000</v>
      </c>
      <c r="K396">
        <v>28</v>
      </c>
      <c r="L396" t="s">
        <v>36</v>
      </c>
      <c r="M396" s="97" t="s">
        <v>552</v>
      </c>
    </row>
    <row r="397" spans="1:13" x14ac:dyDescent="0.3">
      <c r="A397">
        <v>31</v>
      </c>
      <c r="B397" t="s">
        <v>13</v>
      </c>
      <c r="C397" t="s">
        <v>20</v>
      </c>
      <c r="D397" t="s">
        <v>15</v>
      </c>
      <c r="E397">
        <v>9</v>
      </c>
      <c r="F397">
        <v>5</v>
      </c>
      <c r="G397" t="s">
        <v>16</v>
      </c>
      <c r="H397" t="s">
        <v>71</v>
      </c>
      <c r="I397">
        <v>85000</v>
      </c>
      <c r="K397">
        <v>28</v>
      </c>
      <c r="L397" t="s">
        <v>18</v>
      </c>
      <c r="M397" s="97" t="s">
        <v>552</v>
      </c>
    </row>
    <row r="398" spans="1:13" x14ac:dyDescent="0.3">
      <c r="A398">
        <v>28</v>
      </c>
      <c r="B398" t="s">
        <v>13</v>
      </c>
      <c r="C398" t="s">
        <v>20</v>
      </c>
      <c r="D398" t="s">
        <v>43</v>
      </c>
      <c r="E398">
        <v>5</v>
      </c>
      <c r="F398">
        <v>1.5</v>
      </c>
      <c r="G398" t="s">
        <v>24</v>
      </c>
      <c r="H398" t="s">
        <v>80</v>
      </c>
      <c r="I398">
        <v>70800</v>
      </c>
      <c r="K398">
        <v>28</v>
      </c>
      <c r="L398" t="s">
        <v>18</v>
      </c>
      <c r="M398" s="97" t="s">
        <v>552</v>
      </c>
    </row>
    <row r="399" spans="1:13" x14ac:dyDescent="0.3">
      <c r="A399">
        <v>30</v>
      </c>
      <c r="B399" t="s">
        <v>13</v>
      </c>
      <c r="C399" t="s">
        <v>20</v>
      </c>
      <c r="D399" t="s">
        <v>43</v>
      </c>
      <c r="E399">
        <v>3</v>
      </c>
      <c r="F399">
        <v>2</v>
      </c>
      <c r="G399" t="s">
        <v>16</v>
      </c>
      <c r="H399" t="s">
        <v>80</v>
      </c>
      <c r="I399">
        <v>58000</v>
      </c>
      <c r="K399">
        <v>28</v>
      </c>
      <c r="L399" t="s">
        <v>18</v>
      </c>
      <c r="M399" s="97" t="s">
        <v>552</v>
      </c>
    </row>
    <row r="400" spans="1:13" x14ac:dyDescent="0.3">
      <c r="A400">
        <v>45</v>
      </c>
      <c r="B400" t="s">
        <v>33</v>
      </c>
      <c r="C400" t="s">
        <v>70</v>
      </c>
      <c r="D400" t="s">
        <v>145</v>
      </c>
      <c r="E400">
        <v>6</v>
      </c>
      <c r="F400">
        <v>0.9</v>
      </c>
      <c r="G400" t="s">
        <v>16</v>
      </c>
      <c r="H400" t="s">
        <v>146</v>
      </c>
      <c r="I400">
        <v>55000</v>
      </c>
      <c r="K400">
        <v>28</v>
      </c>
      <c r="L400" t="s">
        <v>18</v>
      </c>
      <c r="M400" s="97" t="s">
        <v>552</v>
      </c>
    </row>
    <row r="401" spans="1:13" x14ac:dyDescent="0.3">
      <c r="A401">
        <v>30</v>
      </c>
      <c r="B401" t="s">
        <v>33</v>
      </c>
      <c r="C401" t="s">
        <v>20</v>
      </c>
      <c r="D401" t="s">
        <v>52</v>
      </c>
      <c r="E401">
        <v>5</v>
      </c>
      <c r="F401">
        <v>2</v>
      </c>
      <c r="G401" t="s">
        <v>28</v>
      </c>
      <c r="H401" t="s">
        <v>17</v>
      </c>
      <c r="I401">
        <v>54000</v>
      </c>
      <c r="K401">
        <v>28</v>
      </c>
      <c r="L401" t="s">
        <v>18</v>
      </c>
      <c r="M401" s="97" t="s">
        <v>552</v>
      </c>
    </row>
    <row r="402" spans="1:13" x14ac:dyDescent="0.3">
      <c r="A402">
        <v>34</v>
      </c>
      <c r="B402" t="s">
        <v>13</v>
      </c>
      <c r="C402" t="s">
        <v>20</v>
      </c>
      <c r="D402" t="s">
        <v>15</v>
      </c>
      <c r="E402">
        <v>14</v>
      </c>
      <c r="F402">
        <v>5</v>
      </c>
      <c r="G402" t="s">
        <v>16</v>
      </c>
      <c r="H402" t="s">
        <v>17</v>
      </c>
      <c r="I402">
        <v>70000</v>
      </c>
      <c r="K402">
        <v>28</v>
      </c>
      <c r="L402" t="s">
        <v>18</v>
      </c>
      <c r="M402" s="97" t="s">
        <v>552</v>
      </c>
    </row>
    <row r="403" spans="1:13" x14ac:dyDescent="0.3">
      <c r="A403">
        <v>29</v>
      </c>
      <c r="B403" t="s">
        <v>13</v>
      </c>
      <c r="C403" t="s">
        <v>20</v>
      </c>
      <c r="D403" t="s">
        <v>38</v>
      </c>
      <c r="E403">
        <v>6</v>
      </c>
      <c r="F403">
        <v>2</v>
      </c>
      <c r="G403" t="s">
        <v>28</v>
      </c>
      <c r="I403">
        <v>56000</v>
      </c>
      <c r="K403">
        <v>28</v>
      </c>
      <c r="L403" t="s">
        <v>18</v>
      </c>
      <c r="M403" s="97" t="s">
        <v>552</v>
      </c>
    </row>
    <row r="404" spans="1:13" x14ac:dyDescent="0.3">
      <c r="A404">
        <v>34</v>
      </c>
      <c r="B404" t="s">
        <v>13</v>
      </c>
      <c r="C404" t="s">
        <v>14</v>
      </c>
      <c r="D404" t="s">
        <v>38</v>
      </c>
      <c r="E404">
        <v>11</v>
      </c>
      <c r="F404">
        <v>1</v>
      </c>
      <c r="G404" t="s">
        <v>16</v>
      </c>
      <c r="I404">
        <v>60000</v>
      </c>
      <c r="K404">
        <v>28</v>
      </c>
      <c r="L404" t="s">
        <v>18</v>
      </c>
      <c r="M404" s="97" t="s">
        <v>552</v>
      </c>
    </row>
    <row r="405" spans="1:13" x14ac:dyDescent="0.3">
      <c r="A405">
        <v>35</v>
      </c>
      <c r="B405" t="s">
        <v>13</v>
      </c>
      <c r="C405" t="s">
        <v>174</v>
      </c>
      <c r="D405" t="s">
        <v>15</v>
      </c>
      <c r="E405">
        <v>12</v>
      </c>
      <c r="F405">
        <v>7</v>
      </c>
      <c r="G405" t="s">
        <v>16</v>
      </c>
      <c r="H405" t="s">
        <v>58</v>
      </c>
      <c r="I405">
        <v>75000</v>
      </c>
      <c r="K405">
        <v>28</v>
      </c>
      <c r="L405" t="s">
        <v>18</v>
      </c>
      <c r="M405" t="s">
        <v>30</v>
      </c>
    </row>
    <row r="406" spans="1:13" x14ac:dyDescent="0.3">
      <c r="A406">
        <v>24</v>
      </c>
      <c r="B406" t="s">
        <v>13</v>
      </c>
      <c r="C406" t="s">
        <v>20</v>
      </c>
      <c r="D406" t="s">
        <v>21</v>
      </c>
      <c r="E406">
        <v>3</v>
      </c>
      <c r="F406">
        <v>0</v>
      </c>
      <c r="G406" t="s">
        <v>26</v>
      </c>
      <c r="H406" t="s">
        <v>64</v>
      </c>
      <c r="I406">
        <v>48000</v>
      </c>
      <c r="K406">
        <v>28</v>
      </c>
      <c r="L406" t="s">
        <v>18</v>
      </c>
      <c r="M406" t="s">
        <v>30</v>
      </c>
    </row>
    <row r="407" spans="1:13" x14ac:dyDescent="0.3">
      <c r="A407">
        <v>37</v>
      </c>
      <c r="B407" t="s">
        <v>13</v>
      </c>
      <c r="C407" t="s">
        <v>20</v>
      </c>
      <c r="D407" t="s">
        <v>256</v>
      </c>
      <c r="E407">
        <v>15</v>
      </c>
      <c r="F407">
        <v>1</v>
      </c>
      <c r="G407" t="s">
        <v>16</v>
      </c>
      <c r="H407" t="s">
        <v>111</v>
      </c>
      <c r="I407">
        <v>78000</v>
      </c>
      <c r="J407">
        <v>0</v>
      </c>
      <c r="K407">
        <v>28</v>
      </c>
      <c r="L407" t="s">
        <v>18</v>
      </c>
      <c r="M407" t="s">
        <v>30</v>
      </c>
    </row>
    <row r="408" spans="1:13" x14ac:dyDescent="0.3">
      <c r="A408">
        <v>37</v>
      </c>
      <c r="B408" t="s">
        <v>13</v>
      </c>
      <c r="C408" t="s">
        <v>20</v>
      </c>
      <c r="D408" t="s">
        <v>48</v>
      </c>
      <c r="E408">
        <v>6</v>
      </c>
      <c r="F408">
        <v>6</v>
      </c>
      <c r="G408" t="s">
        <v>28</v>
      </c>
      <c r="H408" t="s">
        <v>49</v>
      </c>
      <c r="I408">
        <v>47400</v>
      </c>
      <c r="J408">
        <v>1000</v>
      </c>
      <c r="K408">
        <v>28</v>
      </c>
      <c r="L408" t="s">
        <v>36</v>
      </c>
      <c r="M408" t="s">
        <v>30</v>
      </c>
    </row>
    <row r="409" spans="1:13" x14ac:dyDescent="0.3">
      <c r="A409">
        <v>36</v>
      </c>
      <c r="B409" t="s">
        <v>13</v>
      </c>
      <c r="C409" t="s">
        <v>14</v>
      </c>
      <c r="D409" t="s">
        <v>113</v>
      </c>
      <c r="E409">
        <v>12</v>
      </c>
      <c r="F409">
        <v>5</v>
      </c>
      <c r="G409" t="s">
        <v>24</v>
      </c>
      <c r="H409" t="s">
        <v>91</v>
      </c>
      <c r="I409">
        <v>105000</v>
      </c>
      <c r="J409">
        <v>25000</v>
      </c>
      <c r="K409">
        <v>28</v>
      </c>
      <c r="L409" t="s">
        <v>18</v>
      </c>
      <c r="M409" t="s">
        <v>30</v>
      </c>
    </row>
    <row r="410" spans="1:13" x14ac:dyDescent="0.3">
      <c r="A410">
        <v>30</v>
      </c>
      <c r="B410" t="s">
        <v>13</v>
      </c>
      <c r="C410" t="s">
        <v>14</v>
      </c>
      <c r="D410" t="s">
        <v>360</v>
      </c>
      <c r="E410">
        <v>12</v>
      </c>
      <c r="F410">
        <v>2</v>
      </c>
      <c r="G410" t="s">
        <v>16</v>
      </c>
      <c r="H410" t="s">
        <v>91</v>
      </c>
      <c r="I410">
        <v>150000</v>
      </c>
      <c r="J410">
        <v>20000</v>
      </c>
      <c r="K410">
        <v>28</v>
      </c>
      <c r="L410" t="s">
        <v>18</v>
      </c>
      <c r="M410" t="s">
        <v>30</v>
      </c>
    </row>
    <row r="411" spans="1:13" x14ac:dyDescent="0.3">
      <c r="A411">
        <v>39</v>
      </c>
      <c r="B411" t="s">
        <v>13</v>
      </c>
      <c r="C411" t="s">
        <v>14</v>
      </c>
      <c r="D411" t="s">
        <v>44</v>
      </c>
      <c r="E411">
        <v>20</v>
      </c>
      <c r="F411">
        <v>12</v>
      </c>
      <c r="G411" t="s">
        <v>24</v>
      </c>
      <c r="H411" t="s">
        <v>272</v>
      </c>
      <c r="I411">
        <v>122000</v>
      </c>
      <c r="J411">
        <v>45000</v>
      </c>
      <c r="K411">
        <v>28</v>
      </c>
      <c r="L411" t="s">
        <v>18</v>
      </c>
      <c r="M411" t="s">
        <v>30</v>
      </c>
    </row>
    <row r="412" spans="1:13" x14ac:dyDescent="0.3">
      <c r="A412">
        <v>28</v>
      </c>
      <c r="B412" t="s">
        <v>33</v>
      </c>
      <c r="C412" t="s">
        <v>20</v>
      </c>
      <c r="D412" t="s">
        <v>38</v>
      </c>
      <c r="E412">
        <v>7</v>
      </c>
      <c r="F412">
        <v>7</v>
      </c>
      <c r="G412" t="s">
        <v>28</v>
      </c>
      <c r="H412" t="s">
        <v>54</v>
      </c>
      <c r="I412">
        <v>45000</v>
      </c>
      <c r="K412">
        <v>28</v>
      </c>
      <c r="L412" t="s">
        <v>36</v>
      </c>
      <c r="M412" t="s">
        <v>30</v>
      </c>
    </row>
    <row r="413" spans="1:13" x14ac:dyDescent="0.3">
      <c r="A413">
        <v>28</v>
      </c>
      <c r="B413" t="s">
        <v>33</v>
      </c>
      <c r="C413" t="s">
        <v>20</v>
      </c>
      <c r="D413" t="s">
        <v>38</v>
      </c>
      <c r="E413">
        <v>7</v>
      </c>
      <c r="F413">
        <v>7</v>
      </c>
      <c r="G413" t="s">
        <v>28</v>
      </c>
      <c r="H413" t="s">
        <v>54</v>
      </c>
      <c r="I413">
        <v>45000</v>
      </c>
      <c r="K413">
        <v>28</v>
      </c>
      <c r="L413" t="s">
        <v>36</v>
      </c>
      <c r="M413" t="s">
        <v>30</v>
      </c>
    </row>
    <row r="414" spans="1:13" x14ac:dyDescent="0.3">
      <c r="A414">
        <v>30</v>
      </c>
      <c r="B414" t="s">
        <v>13</v>
      </c>
      <c r="C414" t="s">
        <v>20</v>
      </c>
      <c r="D414" t="s">
        <v>15</v>
      </c>
      <c r="E414">
        <v>10</v>
      </c>
      <c r="F414">
        <v>7</v>
      </c>
      <c r="G414" t="s">
        <v>24</v>
      </c>
      <c r="H414" t="s">
        <v>96</v>
      </c>
      <c r="I414">
        <v>115000</v>
      </c>
      <c r="J414">
        <v>17000</v>
      </c>
      <c r="K414">
        <v>28</v>
      </c>
      <c r="L414" t="s">
        <v>18</v>
      </c>
      <c r="M414" t="s">
        <v>30</v>
      </c>
    </row>
    <row r="415" spans="1:13" x14ac:dyDescent="0.3">
      <c r="A415">
        <v>33</v>
      </c>
      <c r="B415" t="s">
        <v>13</v>
      </c>
      <c r="C415" t="s">
        <v>14</v>
      </c>
      <c r="D415" t="s">
        <v>15</v>
      </c>
      <c r="E415">
        <v>11</v>
      </c>
      <c r="F415">
        <v>4</v>
      </c>
      <c r="G415" t="s">
        <v>24</v>
      </c>
      <c r="H415" t="s">
        <v>96</v>
      </c>
      <c r="I415">
        <v>90000</v>
      </c>
      <c r="K415">
        <v>28</v>
      </c>
      <c r="L415" t="s">
        <v>18</v>
      </c>
      <c r="M415" t="s">
        <v>30</v>
      </c>
    </row>
    <row r="416" spans="1:13" x14ac:dyDescent="0.3">
      <c r="A416">
        <v>26</v>
      </c>
      <c r="B416" t="s">
        <v>13</v>
      </c>
      <c r="C416" t="s">
        <v>20</v>
      </c>
      <c r="D416" t="s">
        <v>15</v>
      </c>
      <c r="E416">
        <v>8</v>
      </c>
      <c r="F416">
        <v>3</v>
      </c>
      <c r="G416" t="s">
        <v>24</v>
      </c>
      <c r="H416" t="s">
        <v>51</v>
      </c>
      <c r="I416">
        <v>85000</v>
      </c>
      <c r="K416">
        <v>28</v>
      </c>
      <c r="L416" t="s">
        <v>18</v>
      </c>
      <c r="M416" t="s">
        <v>30</v>
      </c>
    </row>
    <row r="417" spans="1:13" x14ac:dyDescent="0.3">
      <c r="A417">
        <v>36</v>
      </c>
      <c r="B417" t="s">
        <v>13</v>
      </c>
      <c r="C417" t="s">
        <v>20</v>
      </c>
      <c r="D417" t="s">
        <v>380</v>
      </c>
      <c r="E417">
        <v>15</v>
      </c>
      <c r="F417">
        <v>4</v>
      </c>
      <c r="G417" t="s">
        <v>24</v>
      </c>
      <c r="H417" t="s">
        <v>51</v>
      </c>
      <c r="I417">
        <v>85000</v>
      </c>
      <c r="J417">
        <v>3000</v>
      </c>
      <c r="K417">
        <v>28</v>
      </c>
      <c r="L417" t="s">
        <v>18</v>
      </c>
      <c r="M417" t="s">
        <v>30</v>
      </c>
    </row>
    <row r="418" spans="1:13" x14ac:dyDescent="0.3">
      <c r="A418">
        <v>33</v>
      </c>
      <c r="B418" t="s">
        <v>13</v>
      </c>
      <c r="C418" t="s">
        <v>20</v>
      </c>
      <c r="D418" t="s">
        <v>69</v>
      </c>
      <c r="E418">
        <v>15</v>
      </c>
      <c r="F418">
        <v>4</v>
      </c>
      <c r="G418" t="s">
        <v>24</v>
      </c>
      <c r="H418" t="s">
        <v>32</v>
      </c>
      <c r="I418">
        <v>85000</v>
      </c>
      <c r="J418">
        <v>15000</v>
      </c>
      <c r="K418">
        <v>28</v>
      </c>
      <c r="L418" t="s">
        <v>18</v>
      </c>
      <c r="M418" t="s">
        <v>30</v>
      </c>
    </row>
    <row r="419" spans="1:13" x14ac:dyDescent="0.3">
      <c r="A419">
        <v>36</v>
      </c>
      <c r="B419" t="s">
        <v>13</v>
      </c>
      <c r="C419" t="s">
        <v>301</v>
      </c>
      <c r="D419" t="s">
        <v>15</v>
      </c>
      <c r="E419">
        <v>20</v>
      </c>
      <c r="F419">
        <v>20</v>
      </c>
      <c r="G419" t="s">
        <v>24</v>
      </c>
      <c r="H419" t="s">
        <v>32</v>
      </c>
      <c r="I419">
        <v>74000</v>
      </c>
      <c r="J419">
        <v>6000</v>
      </c>
      <c r="K419">
        <v>28</v>
      </c>
      <c r="L419" t="s">
        <v>36</v>
      </c>
      <c r="M419" t="s">
        <v>30</v>
      </c>
    </row>
    <row r="420" spans="1:13" x14ac:dyDescent="0.3">
      <c r="A420">
        <v>34</v>
      </c>
      <c r="B420" t="s">
        <v>13</v>
      </c>
      <c r="C420" t="s">
        <v>20</v>
      </c>
      <c r="D420" t="s">
        <v>15</v>
      </c>
      <c r="E420">
        <v>15</v>
      </c>
      <c r="F420">
        <v>2</v>
      </c>
      <c r="G420" t="s">
        <v>24</v>
      </c>
      <c r="H420" t="s">
        <v>32</v>
      </c>
      <c r="I420">
        <v>80000</v>
      </c>
      <c r="J420">
        <v>12000</v>
      </c>
      <c r="K420">
        <v>28</v>
      </c>
      <c r="L420" t="s">
        <v>18</v>
      </c>
      <c r="M420" t="s">
        <v>30</v>
      </c>
    </row>
    <row r="421" spans="1:13" x14ac:dyDescent="0.3">
      <c r="A421">
        <v>31</v>
      </c>
      <c r="B421" t="s">
        <v>13</v>
      </c>
      <c r="C421" t="s">
        <v>20</v>
      </c>
      <c r="D421" t="s">
        <v>15</v>
      </c>
      <c r="E421">
        <v>4</v>
      </c>
      <c r="F421">
        <v>2</v>
      </c>
      <c r="G421" t="s">
        <v>24</v>
      </c>
      <c r="H421" t="s">
        <v>32</v>
      </c>
      <c r="I421">
        <v>95000</v>
      </c>
      <c r="J421">
        <v>0</v>
      </c>
      <c r="K421">
        <v>28</v>
      </c>
      <c r="L421" t="s">
        <v>18</v>
      </c>
      <c r="M421" t="s">
        <v>30</v>
      </c>
    </row>
    <row r="422" spans="1:13" x14ac:dyDescent="0.3">
      <c r="A422">
        <v>23</v>
      </c>
      <c r="B422" t="s">
        <v>13</v>
      </c>
      <c r="C422" t="s">
        <v>20</v>
      </c>
      <c r="D422" t="s">
        <v>21</v>
      </c>
      <c r="E422">
        <v>3</v>
      </c>
      <c r="F422">
        <v>1</v>
      </c>
      <c r="G422" t="s">
        <v>28</v>
      </c>
      <c r="H422" t="s">
        <v>32</v>
      </c>
      <c r="I422">
        <v>80000</v>
      </c>
      <c r="J422">
        <v>100000</v>
      </c>
      <c r="K422">
        <v>28</v>
      </c>
      <c r="L422" t="s">
        <v>18</v>
      </c>
      <c r="M422" t="s">
        <v>30</v>
      </c>
    </row>
    <row r="423" spans="1:13" x14ac:dyDescent="0.3">
      <c r="A423">
        <v>26</v>
      </c>
      <c r="B423" t="s">
        <v>33</v>
      </c>
      <c r="C423" t="s">
        <v>20</v>
      </c>
      <c r="D423" t="s">
        <v>21</v>
      </c>
      <c r="E423">
        <v>5</v>
      </c>
      <c r="F423">
        <v>0</v>
      </c>
      <c r="G423" t="s">
        <v>28</v>
      </c>
      <c r="H423" t="s">
        <v>32</v>
      </c>
      <c r="I423">
        <v>65000</v>
      </c>
      <c r="J423">
        <v>75000</v>
      </c>
      <c r="K423">
        <v>28</v>
      </c>
      <c r="L423" t="s">
        <v>18</v>
      </c>
      <c r="M423" t="s">
        <v>30</v>
      </c>
    </row>
    <row r="424" spans="1:13" x14ac:dyDescent="0.3">
      <c r="A424">
        <v>31</v>
      </c>
      <c r="B424" t="s">
        <v>33</v>
      </c>
      <c r="C424" t="s">
        <v>14</v>
      </c>
      <c r="D424" t="s">
        <v>15</v>
      </c>
      <c r="E424">
        <v>2</v>
      </c>
      <c r="F424">
        <v>2</v>
      </c>
      <c r="G424" t="s">
        <v>28</v>
      </c>
      <c r="H424" t="s">
        <v>32</v>
      </c>
      <c r="I424">
        <v>58000</v>
      </c>
      <c r="J424">
        <v>3000</v>
      </c>
      <c r="K424">
        <v>28</v>
      </c>
      <c r="L424" t="s">
        <v>36</v>
      </c>
      <c r="M424" t="s">
        <v>30</v>
      </c>
    </row>
    <row r="425" spans="1:13" x14ac:dyDescent="0.3">
      <c r="A425">
        <v>25</v>
      </c>
      <c r="B425" t="s">
        <v>13</v>
      </c>
      <c r="C425" t="s">
        <v>20</v>
      </c>
      <c r="D425" t="s">
        <v>15</v>
      </c>
      <c r="E425">
        <v>6</v>
      </c>
      <c r="F425">
        <v>1</v>
      </c>
      <c r="G425" t="s">
        <v>28</v>
      </c>
      <c r="H425" t="s">
        <v>32</v>
      </c>
      <c r="I425">
        <v>61500</v>
      </c>
      <c r="J425">
        <v>26000</v>
      </c>
      <c r="K425">
        <v>28</v>
      </c>
      <c r="L425" t="s">
        <v>18</v>
      </c>
      <c r="M425" t="s">
        <v>30</v>
      </c>
    </row>
    <row r="426" spans="1:13" x14ac:dyDescent="0.3">
      <c r="A426">
        <v>33</v>
      </c>
      <c r="B426" t="s">
        <v>33</v>
      </c>
      <c r="C426" t="s">
        <v>20</v>
      </c>
      <c r="D426" t="s">
        <v>15</v>
      </c>
      <c r="E426">
        <v>6</v>
      </c>
      <c r="F426">
        <v>3</v>
      </c>
      <c r="G426" t="s">
        <v>28</v>
      </c>
      <c r="H426" t="s">
        <v>32</v>
      </c>
      <c r="I426">
        <v>65000</v>
      </c>
      <c r="K426">
        <v>28</v>
      </c>
      <c r="L426" t="s">
        <v>18</v>
      </c>
      <c r="M426" t="s">
        <v>30</v>
      </c>
    </row>
    <row r="427" spans="1:13" x14ac:dyDescent="0.3">
      <c r="A427">
        <v>28</v>
      </c>
      <c r="B427" t="s">
        <v>13</v>
      </c>
      <c r="C427" t="s">
        <v>174</v>
      </c>
      <c r="D427" t="s">
        <v>21</v>
      </c>
      <c r="E427">
        <v>7</v>
      </c>
      <c r="F427">
        <v>3</v>
      </c>
      <c r="G427" t="s">
        <v>16</v>
      </c>
      <c r="H427" t="s">
        <v>32</v>
      </c>
      <c r="I427">
        <v>66000</v>
      </c>
      <c r="J427">
        <v>3000</v>
      </c>
      <c r="K427">
        <v>28</v>
      </c>
      <c r="L427" t="s">
        <v>18</v>
      </c>
      <c r="M427" t="s">
        <v>30</v>
      </c>
    </row>
    <row r="428" spans="1:13" x14ac:dyDescent="0.3">
      <c r="A428">
        <v>36</v>
      </c>
      <c r="B428" t="s">
        <v>13</v>
      </c>
      <c r="C428" t="s">
        <v>14</v>
      </c>
      <c r="D428" t="s">
        <v>21</v>
      </c>
      <c r="E428">
        <v>15</v>
      </c>
      <c r="F428">
        <v>3</v>
      </c>
      <c r="G428" t="s">
        <v>16</v>
      </c>
      <c r="H428" t="s">
        <v>32</v>
      </c>
      <c r="I428">
        <v>55000</v>
      </c>
      <c r="K428">
        <v>28</v>
      </c>
      <c r="L428" t="s">
        <v>18</v>
      </c>
      <c r="M428" t="s">
        <v>30</v>
      </c>
    </row>
    <row r="429" spans="1:13" x14ac:dyDescent="0.3">
      <c r="A429">
        <v>30</v>
      </c>
      <c r="B429" t="s">
        <v>33</v>
      </c>
      <c r="C429" t="s">
        <v>14</v>
      </c>
      <c r="D429" t="s">
        <v>15</v>
      </c>
      <c r="E429">
        <v>8</v>
      </c>
      <c r="F429">
        <v>2</v>
      </c>
      <c r="G429" t="s">
        <v>16</v>
      </c>
      <c r="H429" t="s">
        <v>32</v>
      </c>
      <c r="I429">
        <v>52000</v>
      </c>
      <c r="K429">
        <v>28</v>
      </c>
      <c r="L429" t="s">
        <v>36</v>
      </c>
      <c r="M429" t="s">
        <v>30</v>
      </c>
    </row>
    <row r="430" spans="1:13" x14ac:dyDescent="0.3">
      <c r="A430">
        <v>31</v>
      </c>
      <c r="B430" t="s">
        <v>13</v>
      </c>
      <c r="C430" t="s">
        <v>20</v>
      </c>
      <c r="D430" t="s">
        <v>15</v>
      </c>
      <c r="E430">
        <v>4</v>
      </c>
      <c r="F430">
        <v>1</v>
      </c>
      <c r="G430" t="s">
        <v>16</v>
      </c>
      <c r="H430" t="s">
        <v>32</v>
      </c>
      <c r="I430">
        <v>69000</v>
      </c>
      <c r="K430">
        <v>28</v>
      </c>
      <c r="L430" t="s">
        <v>18</v>
      </c>
      <c r="M430" t="s">
        <v>30</v>
      </c>
    </row>
    <row r="431" spans="1:13" x14ac:dyDescent="0.3">
      <c r="A431">
        <v>36</v>
      </c>
      <c r="B431" t="s">
        <v>13</v>
      </c>
      <c r="C431" t="s">
        <v>20</v>
      </c>
      <c r="D431" t="s">
        <v>15</v>
      </c>
      <c r="E431">
        <v>10</v>
      </c>
      <c r="F431">
        <v>10</v>
      </c>
      <c r="G431" t="s">
        <v>254</v>
      </c>
      <c r="H431" t="s">
        <v>32</v>
      </c>
      <c r="I431">
        <v>100000</v>
      </c>
      <c r="J431">
        <v>35000</v>
      </c>
      <c r="K431">
        <v>28</v>
      </c>
      <c r="L431" t="s">
        <v>18</v>
      </c>
      <c r="M431" t="s">
        <v>30</v>
      </c>
    </row>
    <row r="432" spans="1:13" x14ac:dyDescent="0.3">
      <c r="A432">
        <v>34</v>
      </c>
      <c r="B432" t="s">
        <v>13</v>
      </c>
      <c r="C432" t="s">
        <v>20</v>
      </c>
      <c r="D432" t="s">
        <v>27</v>
      </c>
      <c r="E432">
        <v>6</v>
      </c>
      <c r="F432">
        <v>6</v>
      </c>
      <c r="G432" t="s">
        <v>28</v>
      </c>
      <c r="H432" t="s">
        <v>32</v>
      </c>
      <c r="I432">
        <v>62000</v>
      </c>
      <c r="J432">
        <v>70000</v>
      </c>
      <c r="K432">
        <v>28</v>
      </c>
      <c r="L432" t="s">
        <v>36</v>
      </c>
      <c r="M432" t="s">
        <v>30</v>
      </c>
    </row>
    <row r="433" spans="1:13" x14ac:dyDescent="0.3">
      <c r="A433">
        <v>29</v>
      </c>
      <c r="B433" t="s">
        <v>13</v>
      </c>
      <c r="C433" t="s">
        <v>20</v>
      </c>
      <c r="D433" t="s">
        <v>25</v>
      </c>
      <c r="E433">
        <v>5</v>
      </c>
      <c r="F433">
        <v>5</v>
      </c>
      <c r="G433" t="s">
        <v>28</v>
      </c>
      <c r="H433" t="s">
        <v>55</v>
      </c>
      <c r="I433">
        <v>66000</v>
      </c>
      <c r="K433">
        <v>28</v>
      </c>
      <c r="L433" t="s">
        <v>18</v>
      </c>
      <c r="M433" t="s">
        <v>30</v>
      </c>
    </row>
    <row r="434" spans="1:13" x14ac:dyDescent="0.3">
      <c r="A434">
        <v>28</v>
      </c>
      <c r="B434" t="s">
        <v>33</v>
      </c>
      <c r="C434" t="s">
        <v>20</v>
      </c>
      <c r="D434" t="s">
        <v>25</v>
      </c>
      <c r="E434">
        <v>5</v>
      </c>
      <c r="F434">
        <v>2</v>
      </c>
      <c r="G434" t="s">
        <v>16</v>
      </c>
      <c r="H434" t="s">
        <v>55</v>
      </c>
      <c r="I434">
        <v>64000</v>
      </c>
      <c r="J434">
        <v>2000</v>
      </c>
      <c r="K434">
        <v>28</v>
      </c>
      <c r="L434" t="s">
        <v>18</v>
      </c>
      <c r="M434" t="s">
        <v>30</v>
      </c>
    </row>
    <row r="435" spans="1:13" x14ac:dyDescent="0.3">
      <c r="A435">
        <v>25</v>
      </c>
      <c r="B435" t="s">
        <v>13</v>
      </c>
      <c r="C435" t="s">
        <v>20</v>
      </c>
      <c r="D435" t="s">
        <v>15</v>
      </c>
      <c r="E435">
        <v>5</v>
      </c>
      <c r="F435">
        <v>2</v>
      </c>
      <c r="G435" t="s">
        <v>16</v>
      </c>
      <c r="H435" t="s">
        <v>55</v>
      </c>
      <c r="I435">
        <v>65000</v>
      </c>
      <c r="K435">
        <v>28</v>
      </c>
      <c r="L435" t="s">
        <v>36</v>
      </c>
      <c r="M435" t="s">
        <v>30</v>
      </c>
    </row>
    <row r="436" spans="1:13" x14ac:dyDescent="0.3">
      <c r="A436">
        <v>30</v>
      </c>
      <c r="B436" t="s">
        <v>33</v>
      </c>
      <c r="C436" t="s">
        <v>14</v>
      </c>
      <c r="D436" t="s">
        <v>25</v>
      </c>
      <c r="E436">
        <v>9</v>
      </c>
      <c r="F436">
        <v>3</v>
      </c>
      <c r="G436" t="s">
        <v>16</v>
      </c>
      <c r="H436" t="s">
        <v>55</v>
      </c>
      <c r="I436">
        <v>60000</v>
      </c>
      <c r="J436">
        <v>4000</v>
      </c>
      <c r="K436">
        <v>28</v>
      </c>
      <c r="L436" t="s">
        <v>18</v>
      </c>
      <c r="M436" t="s">
        <v>30</v>
      </c>
    </row>
    <row r="437" spans="1:13" x14ac:dyDescent="0.3">
      <c r="A437">
        <v>35</v>
      </c>
      <c r="B437" t="s">
        <v>13</v>
      </c>
      <c r="C437" t="s">
        <v>20</v>
      </c>
      <c r="D437" t="s">
        <v>15</v>
      </c>
      <c r="E437">
        <v>12</v>
      </c>
      <c r="F437">
        <v>6</v>
      </c>
      <c r="G437" t="s">
        <v>28</v>
      </c>
      <c r="H437" t="s">
        <v>40</v>
      </c>
      <c r="I437">
        <v>75000</v>
      </c>
      <c r="J437">
        <v>95000</v>
      </c>
      <c r="K437">
        <v>28</v>
      </c>
      <c r="L437" t="s">
        <v>18</v>
      </c>
      <c r="M437" t="s">
        <v>30</v>
      </c>
    </row>
    <row r="438" spans="1:13" x14ac:dyDescent="0.3">
      <c r="A438">
        <v>34</v>
      </c>
      <c r="B438" t="s">
        <v>13</v>
      </c>
      <c r="C438" t="s">
        <v>20</v>
      </c>
      <c r="D438" t="s">
        <v>21</v>
      </c>
      <c r="E438">
        <v>14</v>
      </c>
      <c r="F438">
        <v>4</v>
      </c>
      <c r="G438" t="s">
        <v>16</v>
      </c>
      <c r="H438" t="s">
        <v>40</v>
      </c>
      <c r="I438">
        <v>95000</v>
      </c>
      <c r="J438">
        <v>125000</v>
      </c>
      <c r="K438">
        <v>28</v>
      </c>
      <c r="L438" t="s">
        <v>18</v>
      </c>
      <c r="M438" t="s">
        <v>30</v>
      </c>
    </row>
    <row r="439" spans="1:13" x14ac:dyDescent="0.3">
      <c r="A439">
        <v>31</v>
      </c>
      <c r="B439" t="s">
        <v>13</v>
      </c>
      <c r="C439" t="s">
        <v>20</v>
      </c>
      <c r="D439" t="s">
        <v>15</v>
      </c>
      <c r="E439">
        <v>6</v>
      </c>
      <c r="F439">
        <v>4</v>
      </c>
      <c r="G439" t="s">
        <v>16</v>
      </c>
      <c r="H439" t="s">
        <v>40</v>
      </c>
      <c r="I439">
        <v>90000</v>
      </c>
      <c r="J439">
        <v>99000</v>
      </c>
      <c r="K439">
        <v>28</v>
      </c>
      <c r="L439" t="s">
        <v>18</v>
      </c>
      <c r="M439" t="s">
        <v>30</v>
      </c>
    </row>
    <row r="440" spans="1:13" x14ac:dyDescent="0.3">
      <c r="A440">
        <v>34</v>
      </c>
      <c r="B440" t="s">
        <v>13</v>
      </c>
      <c r="C440" t="s">
        <v>20</v>
      </c>
      <c r="D440" t="s">
        <v>27</v>
      </c>
      <c r="E440">
        <v>12</v>
      </c>
      <c r="F440">
        <v>2</v>
      </c>
      <c r="G440" t="s">
        <v>24</v>
      </c>
      <c r="H440" t="s">
        <v>47</v>
      </c>
      <c r="I440">
        <v>94000</v>
      </c>
      <c r="J440">
        <v>0</v>
      </c>
      <c r="K440">
        <v>28</v>
      </c>
      <c r="L440" t="s">
        <v>18</v>
      </c>
      <c r="M440" t="s">
        <v>30</v>
      </c>
    </row>
    <row r="441" spans="1:13" x14ac:dyDescent="0.3">
      <c r="A441">
        <v>26</v>
      </c>
      <c r="B441" t="s">
        <v>33</v>
      </c>
      <c r="C441" t="s">
        <v>14</v>
      </c>
      <c r="D441" t="s">
        <v>53</v>
      </c>
      <c r="E441">
        <v>3</v>
      </c>
      <c r="F441">
        <v>1</v>
      </c>
      <c r="G441" t="s">
        <v>26</v>
      </c>
      <c r="H441" t="s">
        <v>89</v>
      </c>
      <c r="I441">
        <v>70000</v>
      </c>
      <c r="J441">
        <v>12000</v>
      </c>
      <c r="K441">
        <v>28</v>
      </c>
      <c r="L441" t="s">
        <v>18</v>
      </c>
      <c r="M441" t="s">
        <v>30</v>
      </c>
    </row>
    <row r="442" spans="1:13" x14ac:dyDescent="0.3">
      <c r="A442">
        <v>24</v>
      </c>
      <c r="B442" t="s">
        <v>13</v>
      </c>
      <c r="C442" t="s">
        <v>14</v>
      </c>
      <c r="D442" t="s">
        <v>15</v>
      </c>
      <c r="E442">
        <v>3</v>
      </c>
      <c r="F442">
        <v>2</v>
      </c>
      <c r="G442" t="s">
        <v>28</v>
      </c>
      <c r="H442" t="s">
        <v>122</v>
      </c>
      <c r="I442">
        <v>58000</v>
      </c>
      <c r="J442">
        <v>18000</v>
      </c>
      <c r="K442">
        <v>28</v>
      </c>
      <c r="L442" t="s">
        <v>18</v>
      </c>
      <c r="M442" t="s">
        <v>30</v>
      </c>
    </row>
    <row r="443" spans="1:13" x14ac:dyDescent="0.3">
      <c r="A443">
        <v>31</v>
      </c>
      <c r="B443" t="s">
        <v>13</v>
      </c>
      <c r="C443" t="s">
        <v>20</v>
      </c>
      <c r="D443" t="s">
        <v>52</v>
      </c>
      <c r="E443">
        <v>10</v>
      </c>
      <c r="F443">
        <v>5</v>
      </c>
      <c r="G443" t="s">
        <v>16</v>
      </c>
      <c r="I443">
        <v>60000</v>
      </c>
      <c r="J443">
        <v>77000</v>
      </c>
      <c r="K443">
        <v>28</v>
      </c>
      <c r="L443" t="s">
        <v>18</v>
      </c>
      <c r="M443" t="s">
        <v>30</v>
      </c>
    </row>
    <row r="444" spans="1:13" x14ac:dyDescent="0.3">
      <c r="A444">
        <v>40</v>
      </c>
      <c r="B444" t="s">
        <v>13</v>
      </c>
      <c r="C444" t="s">
        <v>20</v>
      </c>
      <c r="D444" t="s">
        <v>21</v>
      </c>
      <c r="E444">
        <v>18</v>
      </c>
      <c r="F444">
        <v>2.5</v>
      </c>
      <c r="G444" t="s">
        <v>16</v>
      </c>
      <c r="H444" t="s">
        <v>31</v>
      </c>
      <c r="I444">
        <v>60000</v>
      </c>
      <c r="J444">
        <v>0</v>
      </c>
      <c r="K444">
        <v>28</v>
      </c>
      <c r="L444" t="s">
        <v>18</v>
      </c>
      <c r="M444" t="s">
        <v>30</v>
      </c>
    </row>
    <row r="445" spans="1:13" x14ac:dyDescent="0.3">
      <c r="A445">
        <v>40</v>
      </c>
      <c r="B445" t="s">
        <v>13</v>
      </c>
      <c r="C445" t="s">
        <v>20</v>
      </c>
      <c r="D445" t="s">
        <v>253</v>
      </c>
      <c r="E445">
        <v>15</v>
      </c>
      <c r="F445">
        <v>6</v>
      </c>
      <c r="G445" t="s">
        <v>62</v>
      </c>
      <c r="H445" t="s">
        <v>50</v>
      </c>
      <c r="I445">
        <v>80000</v>
      </c>
      <c r="J445">
        <v>0</v>
      </c>
      <c r="K445">
        <v>28</v>
      </c>
      <c r="L445" t="s">
        <v>18</v>
      </c>
      <c r="M445" t="s">
        <v>30</v>
      </c>
    </row>
    <row r="446" spans="1:13" x14ac:dyDescent="0.3">
      <c r="A446">
        <v>25</v>
      </c>
      <c r="B446" t="s">
        <v>13</v>
      </c>
      <c r="C446" t="s">
        <v>70</v>
      </c>
      <c r="D446" t="s">
        <v>27</v>
      </c>
      <c r="E446">
        <v>2</v>
      </c>
      <c r="F446">
        <v>2</v>
      </c>
      <c r="G446" t="s">
        <v>26</v>
      </c>
      <c r="H446" t="s">
        <v>50</v>
      </c>
      <c r="I446">
        <v>65000</v>
      </c>
      <c r="K446">
        <v>28</v>
      </c>
      <c r="L446" t="s">
        <v>18</v>
      </c>
      <c r="M446" t="s">
        <v>30</v>
      </c>
    </row>
    <row r="447" spans="1:13" x14ac:dyDescent="0.3">
      <c r="A447">
        <v>38</v>
      </c>
      <c r="B447" t="s">
        <v>13</v>
      </c>
      <c r="C447" t="s">
        <v>20</v>
      </c>
      <c r="D447" t="s">
        <v>53</v>
      </c>
      <c r="E447">
        <v>6</v>
      </c>
      <c r="F447">
        <v>3</v>
      </c>
      <c r="G447" t="s">
        <v>24</v>
      </c>
      <c r="H447" t="s">
        <v>50</v>
      </c>
      <c r="I447">
        <v>110000</v>
      </c>
      <c r="J447">
        <v>70000</v>
      </c>
      <c r="K447">
        <v>28</v>
      </c>
      <c r="L447" t="s">
        <v>18</v>
      </c>
      <c r="M447" t="s">
        <v>30</v>
      </c>
    </row>
    <row r="448" spans="1:13" x14ac:dyDescent="0.3">
      <c r="A448">
        <v>31</v>
      </c>
      <c r="B448" t="s">
        <v>13</v>
      </c>
      <c r="C448" t="s">
        <v>20</v>
      </c>
      <c r="D448" t="s">
        <v>15</v>
      </c>
      <c r="E448">
        <v>7</v>
      </c>
      <c r="F448">
        <v>5</v>
      </c>
      <c r="G448" t="s">
        <v>24</v>
      </c>
      <c r="H448" t="s">
        <v>50</v>
      </c>
      <c r="I448">
        <v>80000</v>
      </c>
      <c r="J448">
        <v>10000</v>
      </c>
      <c r="K448">
        <v>28</v>
      </c>
      <c r="L448" t="s">
        <v>18</v>
      </c>
      <c r="M448" t="s">
        <v>30</v>
      </c>
    </row>
    <row r="449" spans="1:13" x14ac:dyDescent="0.3">
      <c r="B449" t="s">
        <v>13</v>
      </c>
      <c r="C449" t="s">
        <v>20</v>
      </c>
      <c r="D449" t="s">
        <v>306</v>
      </c>
      <c r="E449">
        <v>11</v>
      </c>
      <c r="F449">
        <v>1</v>
      </c>
      <c r="G449" t="s">
        <v>28</v>
      </c>
      <c r="H449" t="s">
        <v>50</v>
      </c>
      <c r="I449">
        <v>68000</v>
      </c>
      <c r="J449">
        <v>0</v>
      </c>
      <c r="K449">
        <v>28</v>
      </c>
      <c r="L449" t="s">
        <v>18</v>
      </c>
      <c r="M449" t="s">
        <v>30</v>
      </c>
    </row>
    <row r="450" spans="1:13" x14ac:dyDescent="0.3">
      <c r="A450">
        <v>28</v>
      </c>
      <c r="B450" t="s">
        <v>33</v>
      </c>
      <c r="C450" t="s">
        <v>20</v>
      </c>
      <c r="D450" t="s">
        <v>53</v>
      </c>
      <c r="E450">
        <v>4</v>
      </c>
      <c r="F450">
        <v>2</v>
      </c>
      <c r="G450" t="s">
        <v>28</v>
      </c>
      <c r="H450" t="s">
        <v>50</v>
      </c>
      <c r="I450">
        <v>73700</v>
      </c>
      <c r="J450">
        <v>80400</v>
      </c>
      <c r="K450">
        <v>28</v>
      </c>
      <c r="L450" t="s">
        <v>18</v>
      </c>
      <c r="M450" t="s">
        <v>30</v>
      </c>
    </row>
    <row r="451" spans="1:13" x14ac:dyDescent="0.3">
      <c r="A451">
        <v>31</v>
      </c>
      <c r="C451" t="s">
        <v>20</v>
      </c>
      <c r="D451" t="s">
        <v>81</v>
      </c>
      <c r="E451">
        <v>5</v>
      </c>
      <c r="F451">
        <v>2.5</v>
      </c>
      <c r="G451" t="s">
        <v>28</v>
      </c>
      <c r="H451" t="s">
        <v>50</v>
      </c>
      <c r="I451">
        <v>77500</v>
      </c>
      <c r="J451">
        <v>78000</v>
      </c>
      <c r="K451">
        <v>28</v>
      </c>
      <c r="L451" t="s">
        <v>18</v>
      </c>
      <c r="M451" t="s">
        <v>30</v>
      </c>
    </row>
    <row r="452" spans="1:13" x14ac:dyDescent="0.3">
      <c r="A452">
        <v>27</v>
      </c>
      <c r="B452" t="s">
        <v>13</v>
      </c>
      <c r="C452" t="s">
        <v>20</v>
      </c>
      <c r="D452" t="s">
        <v>81</v>
      </c>
      <c r="E452">
        <v>6</v>
      </c>
      <c r="F452">
        <v>1</v>
      </c>
      <c r="G452" t="s">
        <v>28</v>
      </c>
      <c r="H452" t="s">
        <v>50</v>
      </c>
      <c r="I452">
        <v>82000</v>
      </c>
      <c r="J452">
        <v>38500</v>
      </c>
      <c r="K452">
        <v>28</v>
      </c>
      <c r="L452" t="s">
        <v>18</v>
      </c>
      <c r="M452" t="s">
        <v>30</v>
      </c>
    </row>
    <row r="453" spans="1:13" x14ac:dyDescent="0.3">
      <c r="A453">
        <v>31</v>
      </c>
      <c r="B453" t="s">
        <v>13</v>
      </c>
      <c r="C453" t="s">
        <v>20</v>
      </c>
      <c r="D453" t="s">
        <v>81</v>
      </c>
      <c r="E453">
        <v>7</v>
      </c>
      <c r="F453">
        <v>2</v>
      </c>
      <c r="G453" t="s">
        <v>28</v>
      </c>
      <c r="H453" t="s">
        <v>50</v>
      </c>
      <c r="I453">
        <v>80000</v>
      </c>
      <c r="J453">
        <v>12000</v>
      </c>
      <c r="K453">
        <v>28</v>
      </c>
      <c r="L453" t="s">
        <v>18</v>
      </c>
      <c r="M453" t="s">
        <v>30</v>
      </c>
    </row>
    <row r="454" spans="1:13" x14ac:dyDescent="0.3">
      <c r="A454">
        <v>33</v>
      </c>
      <c r="B454" t="s">
        <v>13</v>
      </c>
      <c r="C454" t="s">
        <v>70</v>
      </c>
      <c r="D454" t="s">
        <v>83</v>
      </c>
      <c r="E454">
        <v>6</v>
      </c>
      <c r="F454">
        <v>6</v>
      </c>
      <c r="G454" t="s">
        <v>28</v>
      </c>
      <c r="H454" t="s">
        <v>50</v>
      </c>
      <c r="I454">
        <v>85000</v>
      </c>
      <c r="J454">
        <v>40000</v>
      </c>
      <c r="K454">
        <v>28</v>
      </c>
      <c r="L454" t="s">
        <v>18</v>
      </c>
      <c r="M454" t="s">
        <v>30</v>
      </c>
    </row>
    <row r="455" spans="1:13" x14ac:dyDescent="0.3">
      <c r="A455">
        <v>34</v>
      </c>
      <c r="B455" t="s">
        <v>33</v>
      </c>
      <c r="C455" t="s">
        <v>20</v>
      </c>
      <c r="E455">
        <v>13</v>
      </c>
      <c r="F455">
        <v>3</v>
      </c>
      <c r="G455" t="s">
        <v>254</v>
      </c>
      <c r="H455" t="s">
        <v>50</v>
      </c>
      <c r="I455">
        <v>108000</v>
      </c>
      <c r="K455">
        <v>28</v>
      </c>
      <c r="L455" t="s">
        <v>18</v>
      </c>
      <c r="M455" t="s">
        <v>30</v>
      </c>
    </row>
    <row r="456" spans="1:13" x14ac:dyDescent="0.3">
      <c r="A456">
        <v>31</v>
      </c>
      <c r="B456" t="s">
        <v>13</v>
      </c>
      <c r="C456" t="s">
        <v>20</v>
      </c>
      <c r="D456" t="s">
        <v>21</v>
      </c>
      <c r="E456">
        <v>5</v>
      </c>
      <c r="F456">
        <v>2</v>
      </c>
      <c r="G456" t="s">
        <v>16</v>
      </c>
      <c r="H456" t="s">
        <v>50</v>
      </c>
      <c r="I456">
        <v>77000</v>
      </c>
      <c r="K456">
        <v>28</v>
      </c>
      <c r="L456" t="s">
        <v>18</v>
      </c>
      <c r="M456" t="s">
        <v>30</v>
      </c>
    </row>
    <row r="457" spans="1:13" x14ac:dyDescent="0.3">
      <c r="A457">
        <v>34</v>
      </c>
      <c r="B457" t="s">
        <v>33</v>
      </c>
      <c r="C457" t="s">
        <v>20</v>
      </c>
      <c r="D457" t="s">
        <v>52</v>
      </c>
      <c r="E457">
        <v>12</v>
      </c>
      <c r="F457">
        <v>11</v>
      </c>
      <c r="G457" t="s">
        <v>16</v>
      </c>
      <c r="H457" t="s">
        <v>50</v>
      </c>
      <c r="I457">
        <v>60000</v>
      </c>
      <c r="J457">
        <v>2000</v>
      </c>
      <c r="K457">
        <v>28</v>
      </c>
      <c r="L457" t="s">
        <v>36</v>
      </c>
      <c r="M457" t="s">
        <v>30</v>
      </c>
    </row>
    <row r="458" spans="1:13" x14ac:dyDescent="0.3">
      <c r="A458">
        <v>34</v>
      </c>
      <c r="B458" t="s">
        <v>13</v>
      </c>
      <c r="C458" t="s">
        <v>20</v>
      </c>
      <c r="D458" t="s">
        <v>147</v>
      </c>
      <c r="E458">
        <v>10</v>
      </c>
      <c r="F458">
        <v>4</v>
      </c>
      <c r="G458" t="s">
        <v>16</v>
      </c>
      <c r="H458" t="s">
        <v>50</v>
      </c>
      <c r="I458">
        <v>85000</v>
      </c>
      <c r="J458">
        <v>25000</v>
      </c>
      <c r="K458">
        <v>28</v>
      </c>
      <c r="L458" t="s">
        <v>18</v>
      </c>
      <c r="M458" t="s">
        <v>30</v>
      </c>
    </row>
    <row r="459" spans="1:13" x14ac:dyDescent="0.3">
      <c r="A459">
        <v>33</v>
      </c>
      <c r="B459" t="s">
        <v>13</v>
      </c>
      <c r="C459" t="s">
        <v>20</v>
      </c>
      <c r="D459" t="s">
        <v>15</v>
      </c>
      <c r="E459">
        <v>10</v>
      </c>
      <c r="F459">
        <v>5</v>
      </c>
      <c r="G459" t="s">
        <v>16</v>
      </c>
      <c r="H459" t="s">
        <v>50</v>
      </c>
      <c r="I459">
        <v>80000</v>
      </c>
      <c r="J459">
        <v>10000</v>
      </c>
      <c r="K459">
        <v>28</v>
      </c>
      <c r="L459" t="s">
        <v>18</v>
      </c>
      <c r="M459" t="s">
        <v>30</v>
      </c>
    </row>
    <row r="460" spans="1:13" x14ac:dyDescent="0.3">
      <c r="A460">
        <v>39</v>
      </c>
      <c r="B460" t="s">
        <v>13</v>
      </c>
      <c r="C460" t="s">
        <v>20</v>
      </c>
      <c r="D460" t="s">
        <v>106</v>
      </c>
      <c r="E460">
        <v>11</v>
      </c>
      <c r="F460">
        <v>9</v>
      </c>
      <c r="G460" t="s">
        <v>62</v>
      </c>
      <c r="H460" t="s">
        <v>50</v>
      </c>
      <c r="I460">
        <v>180000</v>
      </c>
      <c r="J460">
        <v>150000</v>
      </c>
      <c r="K460">
        <v>28</v>
      </c>
      <c r="L460" t="s">
        <v>18</v>
      </c>
      <c r="M460" t="s">
        <v>30</v>
      </c>
    </row>
    <row r="461" spans="1:13" x14ac:dyDescent="0.3">
      <c r="A461">
        <v>31</v>
      </c>
      <c r="B461" t="s">
        <v>13</v>
      </c>
      <c r="C461" t="s">
        <v>20</v>
      </c>
      <c r="D461" t="s">
        <v>53</v>
      </c>
      <c r="E461">
        <v>10</v>
      </c>
      <c r="F461">
        <v>5</v>
      </c>
      <c r="G461" t="s">
        <v>24</v>
      </c>
      <c r="H461" t="s">
        <v>50</v>
      </c>
      <c r="I461">
        <v>115000</v>
      </c>
      <c r="J461">
        <v>70000</v>
      </c>
      <c r="K461">
        <v>28</v>
      </c>
      <c r="L461" t="s">
        <v>18</v>
      </c>
      <c r="M461" t="s">
        <v>30</v>
      </c>
    </row>
    <row r="462" spans="1:13" x14ac:dyDescent="0.3">
      <c r="A462">
        <v>37</v>
      </c>
      <c r="B462" t="s">
        <v>33</v>
      </c>
      <c r="C462" t="s">
        <v>20</v>
      </c>
      <c r="D462" t="s">
        <v>53</v>
      </c>
      <c r="E462">
        <v>8</v>
      </c>
      <c r="F462">
        <v>0.5</v>
      </c>
      <c r="G462" t="s">
        <v>28</v>
      </c>
      <c r="H462" t="s">
        <v>50</v>
      </c>
      <c r="I462">
        <v>67000</v>
      </c>
      <c r="J462">
        <v>0</v>
      </c>
      <c r="K462">
        <v>28</v>
      </c>
      <c r="L462" t="s">
        <v>18</v>
      </c>
      <c r="M462" t="s">
        <v>30</v>
      </c>
    </row>
    <row r="463" spans="1:13" x14ac:dyDescent="0.3">
      <c r="A463">
        <v>25</v>
      </c>
      <c r="B463" t="s">
        <v>13</v>
      </c>
      <c r="C463" t="s">
        <v>20</v>
      </c>
      <c r="D463" t="s">
        <v>53</v>
      </c>
      <c r="E463">
        <v>1</v>
      </c>
      <c r="F463">
        <v>0.5</v>
      </c>
      <c r="G463" t="s">
        <v>26</v>
      </c>
      <c r="H463" t="s">
        <v>50</v>
      </c>
      <c r="I463">
        <v>51000</v>
      </c>
      <c r="J463">
        <v>10000</v>
      </c>
      <c r="K463">
        <v>28</v>
      </c>
      <c r="L463" t="s">
        <v>18</v>
      </c>
      <c r="M463" t="s">
        <v>30</v>
      </c>
    </row>
    <row r="464" spans="1:13" x14ac:dyDescent="0.3">
      <c r="A464">
        <v>30</v>
      </c>
      <c r="B464" t="s">
        <v>33</v>
      </c>
      <c r="C464" t="s">
        <v>278</v>
      </c>
      <c r="D464" t="s">
        <v>299</v>
      </c>
      <c r="E464">
        <v>2</v>
      </c>
      <c r="F464">
        <v>2</v>
      </c>
      <c r="G464" t="s">
        <v>26</v>
      </c>
      <c r="H464" t="s">
        <v>124</v>
      </c>
      <c r="I464">
        <v>45000</v>
      </c>
      <c r="K464">
        <v>28</v>
      </c>
      <c r="L464" t="s">
        <v>18</v>
      </c>
      <c r="M464" t="s">
        <v>30</v>
      </c>
    </row>
    <row r="465" spans="1:13" x14ac:dyDescent="0.3">
      <c r="A465">
        <v>35</v>
      </c>
      <c r="B465" t="s">
        <v>33</v>
      </c>
      <c r="C465" t="s">
        <v>14</v>
      </c>
      <c r="D465" t="s">
        <v>397</v>
      </c>
      <c r="E465" s="1">
        <v>1.5</v>
      </c>
      <c r="F465">
        <v>1.5</v>
      </c>
      <c r="G465" t="s">
        <v>26</v>
      </c>
      <c r="H465" t="s">
        <v>398</v>
      </c>
      <c r="I465">
        <v>46000</v>
      </c>
      <c r="J465">
        <v>2000</v>
      </c>
      <c r="K465">
        <v>28</v>
      </c>
      <c r="L465" t="s">
        <v>18</v>
      </c>
      <c r="M465" t="s">
        <v>30</v>
      </c>
    </row>
    <row r="466" spans="1:13" x14ac:dyDescent="0.3">
      <c r="A466">
        <v>29</v>
      </c>
      <c r="B466" t="s">
        <v>13</v>
      </c>
      <c r="C466" t="s">
        <v>14</v>
      </c>
      <c r="D466" t="s">
        <v>53</v>
      </c>
      <c r="E466">
        <v>6</v>
      </c>
      <c r="F466">
        <v>5</v>
      </c>
      <c r="G466" t="s">
        <v>28</v>
      </c>
      <c r="H466" t="s">
        <v>42</v>
      </c>
      <c r="I466">
        <v>70000</v>
      </c>
      <c r="J466">
        <v>30000</v>
      </c>
      <c r="K466">
        <v>28</v>
      </c>
      <c r="L466" t="s">
        <v>18</v>
      </c>
      <c r="M466" t="s">
        <v>30</v>
      </c>
    </row>
    <row r="467" spans="1:13" x14ac:dyDescent="0.3">
      <c r="A467">
        <v>23</v>
      </c>
      <c r="B467" t="s">
        <v>33</v>
      </c>
      <c r="C467" t="s">
        <v>20</v>
      </c>
      <c r="D467" t="s">
        <v>262</v>
      </c>
      <c r="E467">
        <v>1</v>
      </c>
      <c r="F467">
        <v>1</v>
      </c>
      <c r="G467" t="s">
        <v>26</v>
      </c>
      <c r="H467" t="s">
        <v>42</v>
      </c>
      <c r="I467">
        <v>36000</v>
      </c>
      <c r="J467">
        <v>36000</v>
      </c>
      <c r="K467">
        <v>28</v>
      </c>
      <c r="L467" t="s">
        <v>18</v>
      </c>
      <c r="M467" t="s">
        <v>30</v>
      </c>
    </row>
    <row r="468" spans="1:13" x14ac:dyDescent="0.3">
      <c r="A468">
        <v>29</v>
      </c>
      <c r="B468" t="s">
        <v>13</v>
      </c>
      <c r="C468" t="s">
        <v>20</v>
      </c>
      <c r="D468" t="s">
        <v>15</v>
      </c>
      <c r="E468">
        <v>6</v>
      </c>
      <c r="F468">
        <v>0.5</v>
      </c>
      <c r="G468" t="s">
        <v>28</v>
      </c>
      <c r="H468" t="s">
        <v>80</v>
      </c>
      <c r="I468">
        <v>70000</v>
      </c>
      <c r="J468">
        <v>0</v>
      </c>
      <c r="K468">
        <v>28</v>
      </c>
      <c r="L468" t="s">
        <v>18</v>
      </c>
      <c r="M468" t="s">
        <v>30</v>
      </c>
    </row>
    <row r="469" spans="1:13" x14ac:dyDescent="0.3">
      <c r="A469">
        <v>37</v>
      </c>
      <c r="B469" t="s">
        <v>13</v>
      </c>
      <c r="C469" t="s">
        <v>20</v>
      </c>
      <c r="D469" t="s">
        <v>43</v>
      </c>
      <c r="E469">
        <v>17</v>
      </c>
      <c r="F469">
        <v>1</v>
      </c>
      <c r="G469" t="s">
        <v>16</v>
      </c>
      <c r="H469" t="s">
        <v>80</v>
      </c>
      <c r="I469">
        <v>77000</v>
      </c>
      <c r="J469">
        <v>500</v>
      </c>
      <c r="K469">
        <v>28</v>
      </c>
      <c r="L469" t="s">
        <v>18</v>
      </c>
      <c r="M469" t="s">
        <v>30</v>
      </c>
    </row>
    <row r="470" spans="1:13" x14ac:dyDescent="0.3">
      <c r="A470">
        <v>26</v>
      </c>
      <c r="B470" t="s">
        <v>13</v>
      </c>
      <c r="C470" t="s">
        <v>20</v>
      </c>
      <c r="D470" t="s">
        <v>15</v>
      </c>
      <c r="E470">
        <v>2</v>
      </c>
      <c r="F470">
        <v>1.5</v>
      </c>
      <c r="G470" t="s">
        <v>28</v>
      </c>
      <c r="H470" t="s">
        <v>17</v>
      </c>
      <c r="I470">
        <v>58000</v>
      </c>
      <c r="J470">
        <v>3000</v>
      </c>
      <c r="K470">
        <v>28</v>
      </c>
      <c r="L470" t="s">
        <v>18</v>
      </c>
      <c r="M470" t="s">
        <v>30</v>
      </c>
    </row>
    <row r="471" spans="1:13" x14ac:dyDescent="0.3">
      <c r="A471">
        <v>30</v>
      </c>
      <c r="B471" t="s">
        <v>13</v>
      </c>
      <c r="C471" t="s">
        <v>20</v>
      </c>
      <c r="D471" t="s">
        <v>25</v>
      </c>
      <c r="E471">
        <v>11</v>
      </c>
      <c r="F471">
        <v>5</v>
      </c>
      <c r="G471" t="s">
        <v>16</v>
      </c>
      <c r="H471" t="s">
        <v>17</v>
      </c>
      <c r="I471">
        <v>74000</v>
      </c>
      <c r="J471">
        <v>11000</v>
      </c>
      <c r="K471">
        <v>28</v>
      </c>
      <c r="L471" t="s">
        <v>18</v>
      </c>
      <c r="M471" t="s">
        <v>30</v>
      </c>
    </row>
    <row r="472" spans="1:13" x14ac:dyDescent="0.3">
      <c r="A472">
        <v>36</v>
      </c>
      <c r="B472" t="s">
        <v>13</v>
      </c>
      <c r="C472" t="s">
        <v>20</v>
      </c>
      <c r="D472" t="s">
        <v>15</v>
      </c>
      <c r="E472">
        <v>10</v>
      </c>
      <c r="F472">
        <v>10</v>
      </c>
      <c r="G472" t="s">
        <v>16</v>
      </c>
      <c r="H472" t="s">
        <v>17</v>
      </c>
      <c r="I472">
        <v>88000</v>
      </c>
      <c r="J472">
        <v>0</v>
      </c>
      <c r="K472">
        <v>28</v>
      </c>
      <c r="L472" t="s">
        <v>36</v>
      </c>
      <c r="M472" t="s">
        <v>30</v>
      </c>
    </row>
    <row r="473" spans="1:13" x14ac:dyDescent="0.3">
      <c r="A473">
        <v>31</v>
      </c>
      <c r="B473" t="s">
        <v>13</v>
      </c>
      <c r="C473" t="s">
        <v>20</v>
      </c>
      <c r="D473" t="s">
        <v>15</v>
      </c>
      <c r="E473">
        <v>8</v>
      </c>
      <c r="F473">
        <v>3</v>
      </c>
      <c r="G473" t="s">
        <v>16</v>
      </c>
      <c r="H473" t="s">
        <v>17</v>
      </c>
      <c r="I473">
        <v>80000</v>
      </c>
      <c r="J473">
        <v>0</v>
      </c>
      <c r="K473">
        <v>28</v>
      </c>
      <c r="L473" t="s">
        <v>18</v>
      </c>
      <c r="M473" t="s">
        <v>30</v>
      </c>
    </row>
    <row r="474" spans="1:13" x14ac:dyDescent="0.3">
      <c r="A474">
        <v>31</v>
      </c>
      <c r="B474" t="s">
        <v>33</v>
      </c>
      <c r="C474" t="s">
        <v>70</v>
      </c>
      <c r="D474" t="s">
        <v>15</v>
      </c>
      <c r="E474">
        <v>2</v>
      </c>
      <c r="F474">
        <v>2</v>
      </c>
      <c r="G474" t="s">
        <v>26</v>
      </c>
      <c r="I474">
        <v>50000</v>
      </c>
      <c r="K474">
        <v>28</v>
      </c>
      <c r="L474" t="s">
        <v>18</v>
      </c>
      <c r="M474" t="s">
        <v>30</v>
      </c>
    </row>
    <row r="475" spans="1:13" x14ac:dyDescent="0.3">
      <c r="A475">
        <v>30</v>
      </c>
      <c r="B475" t="s">
        <v>13</v>
      </c>
      <c r="C475" t="s">
        <v>14</v>
      </c>
      <c r="D475" t="s">
        <v>27</v>
      </c>
      <c r="E475">
        <v>10</v>
      </c>
      <c r="F475">
        <v>3</v>
      </c>
      <c r="G475" t="s">
        <v>24</v>
      </c>
      <c r="I475">
        <v>85000</v>
      </c>
      <c r="J475">
        <v>25</v>
      </c>
      <c r="K475">
        <v>28</v>
      </c>
      <c r="L475" t="s">
        <v>18</v>
      </c>
      <c r="M475" t="s">
        <v>30</v>
      </c>
    </row>
    <row r="476" spans="1:13" x14ac:dyDescent="0.3">
      <c r="A476">
        <v>38</v>
      </c>
      <c r="B476" t="s">
        <v>33</v>
      </c>
      <c r="C476" t="s">
        <v>20</v>
      </c>
      <c r="D476" t="s">
        <v>21</v>
      </c>
      <c r="E476">
        <v>12</v>
      </c>
      <c r="F476">
        <v>6</v>
      </c>
      <c r="G476" t="s">
        <v>16</v>
      </c>
      <c r="I476">
        <v>70000</v>
      </c>
      <c r="J476">
        <v>8000</v>
      </c>
      <c r="K476">
        <v>28</v>
      </c>
      <c r="L476" t="s">
        <v>18</v>
      </c>
      <c r="M476" t="s">
        <v>30</v>
      </c>
    </row>
    <row r="477" spans="1:13" x14ac:dyDescent="0.3">
      <c r="A477">
        <v>24</v>
      </c>
      <c r="B477" t="s">
        <v>13</v>
      </c>
      <c r="C477" t="s">
        <v>163</v>
      </c>
      <c r="D477" t="s">
        <v>41</v>
      </c>
      <c r="E477">
        <v>3</v>
      </c>
      <c r="F477">
        <v>0</v>
      </c>
      <c r="G477" t="s">
        <v>16</v>
      </c>
      <c r="I477">
        <v>48000</v>
      </c>
      <c r="J477">
        <v>7200</v>
      </c>
      <c r="K477">
        <v>28</v>
      </c>
      <c r="L477" t="s">
        <v>197</v>
      </c>
      <c r="M477" t="s">
        <v>30</v>
      </c>
    </row>
    <row r="478" spans="1:13" x14ac:dyDescent="0.3">
      <c r="A478">
        <v>36</v>
      </c>
      <c r="B478" t="s">
        <v>13</v>
      </c>
      <c r="C478" t="s">
        <v>59</v>
      </c>
      <c r="D478" t="s">
        <v>401</v>
      </c>
      <c r="E478">
        <v>8</v>
      </c>
      <c r="F478">
        <v>2</v>
      </c>
      <c r="G478" t="s">
        <v>24</v>
      </c>
      <c r="H478" t="s">
        <v>58</v>
      </c>
      <c r="I478">
        <v>72000</v>
      </c>
      <c r="J478">
        <v>6000</v>
      </c>
      <c r="K478">
        <v>28</v>
      </c>
      <c r="L478" t="s">
        <v>36</v>
      </c>
      <c r="M478" t="s">
        <v>23</v>
      </c>
    </row>
    <row r="479" spans="1:13" x14ac:dyDescent="0.3">
      <c r="A479">
        <v>28</v>
      </c>
      <c r="B479" t="s">
        <v>13</v>
      </c>
      <c r="C479" t="s">
        <v>65</v>
      </c>
      <c r="D479" t="s">
        <v>15</v>
      </c>
      <c r="E479">
        <v>8</v>
      </c>
      <c r="F479">
        <v>0</v>
      </c>
      <c r="G479" t="s">
        <v>16</v>
      </c>
      <c r="H479" t="s">
        <v>58</v>
      </c>
      <c r="I479">
        <v>75000</v>
      </c>
      <c r="J479">
        <v>6000</v>
      </c>
      <c r="K479">
        <v>28</v>
      </c>
      <c r="L479" t="s">
        <v>18</v>
      </c>
      <c r="M479" t="s">
        <v>23</v>
      </c>
    </row>
    <row r="480" spans="1:13" x14ac:dyDescent="0.3">
      <c r="A480">
        <v>32</v>
      </c>
      <c r="B480" t="s">
        <v>13</v>
      </c>
      <c r="C480" t="s">
        <v>20</v>
      </c>
      <c r="D480" t="s">
        <v>15</v>
      </c>
      <c r="E480">
        <v>11</v>
      </c>
      <c r="F480">
        <v>6</v>
      </c>
      <c r="G480" t="s">
        <v>24</v>
      </c>
      <c r="H480" t="s">
        <v>79</v>
      </c>
      <c r="I480">
        <v>80000</v>
      </c>
      <c r="K480">
        <v>28</v>
      </c>
      <c r="L480" t="s">
        <v>18</v>
      </c>
      <c r="M480" t="s">
        <v>23</v>
      </c>
    </row>
    <row r="481" spans="1:13" x14ac:dyDescent="0.3">
      <c r="A481">
        <v>29</v>
      </c>
      <c r="B481" t="s">
        <v>13</v>
      </c>
      <c r="C481" t="s">
        <v>207</v>
      </c>
      <c r="D481" t="s">
        <v>43</v>
      </c>
      <c r="E481">
        <v>7</v>
      </c>
      <c r="G481" t="s">
        <v>16</v>
      </c>
      <c r="H481" t="s">
        <v>79</v>
      </c>
      <c r="I481">
        <v>65000</v>
      </c>
      <c r="J481">
        <v>20000</v>
      </c>
      <c r="K481">
        <v>28</v>
      </c>
      <c r="L481" t="s">
        <v>18</v>
      </c>
      <c r="M481" t="s">
        <v>23</v>
      </c>
    </row>
    <row r="482" spans="1:13" x14ac:dyDescent="0.3">
      <c r="A482">
        <v>32</v>
      </c>
      <c r="B482" t="s">
        <v>13</v>
      </c>
      <c r="C482" t="s">
        <v>84</v>
      </c>
      <c r="D482" t="s">
        <v>27</v>
      </c>
      <c r="E482">
        <v>10</v>
      </c>
      <c r="F482">
        <v>1</v>
      </c>
      <c r="G482" t="s">
        <v>28</v>
      </c>
      <c r="H482" t="s">
        <v>125</v>
      </c>
      <c r="I482">
        <v>55000</v>
      </c>
      <c r="J482">
        <v>55000</v>
      </c>
      <c r="K482">
        <v>28</v>
      </c>
      <c r="L482" t="s">
        <v>18</v>
      </c>
      <c r="M482" t="s">
        <v>23</v>
      </c>
    </row>
    <row r="483" spans="1:13" x14ac:dyDescent="0.3">
      <c r="A483">
        <v>32</v>
      </c>
      <c r="B483" t="s">
        <v>13</v>
      </c>
      <c r="C483" t="s">
        <v>20</v>
      </c>
      <c r="D483" t="s">
        <v>15</v>
      </c>
      <c r="E483">
        <v>9</v>
      </c>
      <c r="F483">
        <v>3</v>
      </c>
      <c r="G483" t="s">
        <v>24</v>
      </c>
      <c r="H483" t="s">
        <v>272</v>
      </c>
      <c r="I483">
        <v>73000</v>
      </c>
      <c r="J483">
        <v>1000</v>
      </c>
      <c r="K483">
        <v>28</v>
      </c>
      <c r="L483" t="s">
        <v>18</v>
      </c>
      <c r="M483" t="s">
        <v>23</v>
      </c>
    </row>
    <row r="484" spans="1:13" x14ac:dyDescent="0.3">
      <c r="A484">
        <v>29</v>
      </c>
      <c r="B484" t="s">
        <v>13</v>
      </c>
      <c r="C484" t="s">
        <v>20</v>
      </c>
      <c r="D484" t="s">
        <v>15</v>
      </c>
      <c r="E484">
        <v>6</v>
      </c>
      <c r="F484">
        <v>4</v>
      </c>
      <c r="G484" t="s">
        <v>24</v>
      </c>
      <c r="H484" t="s">
        <v>51</v>
      </c>
      <c r="I484">
        <v>85000</v>
      </c>
      <c r="J484">
        <v>5000</v>
      </c>
      <c r="K484">
        <v>28</v>
      </c>
      <c r="L484" t="s">
        <v>18</v>
      </c>
      <c r="M484" t="s">
        <v>23</v>
      </c>
    </row>
    <row r="485" spans="1:13" x14ac:dyDescent="0.3">
      <c r="A485">
        <v>31</v>
      </c>
      <c r="B485" t="s">
        <v>13</v>
      </c>
      <c r="C485" t="s">
        <v>20</v>
      </c>
      <c r="D485" t="s">
        <v>21</v>
      </c>
      <c r="E485">
        <v>7</v>
      </c>
      <c r="F485">
        <v>2</v>
      </c>
      <c r="G485" t="s">
        <v>16</v>
      </c>
      <c r="H485" t="s">
        <v>51</v>
      </c>
      <c r="I485">
        <v>75000</v>
      </c>
      <c r="K485">
        <v>28</v>
      </c>
      <c r="L485" t="s">
        <v>18</v>
      </c>
      <c r="M485" t="s">
        <v>23</v>
      </c>
    </row>
    <row r="486" spans="1:13" x14ac:dyDescent="0.3">
      <c r="A486">
        <v>25</v>
      </c>
      <c r="B486" t="s">
        <v>13</v>
      </c>
      <c r="C486" t="s">
        <v>20</v>
      </c>
      <c r="D486" t="s">
        <v>21</v>
      </c>
      <c r="E486">
        <v>6</v>
      </c>
      <c r="F486">
        <v>2</v>
      </c>
      <c r="G486" t="s">
        <v>16</v>
      </c>
      <c r="H486" t="s">
        <v>51</v>
      </c>
      <c r="I486">
        <v>86000</v>
      </c>
      <c r="K486">
        <v>28</v>
      </c>
      <c r="L486" t="s">
        <v>18</v>
      </c>
      <c r="M486" t="s">
        <v>23</v>
      </c>
    </row>
    <row r="487" spans="1:13" x14ac:dyDescent="0.3">
      <c r="A487">
        <v>42</v>
      </c>
      <c r="B487" t="s">
        <v>13</v>
      </c>
      <c r="C487" t="s">
        <v>20</v>
      </c>
      <c r="D487" t="s">
        <v>15</v>
      </c>
      <c r="E487">
        <v>17</v>
      </c>
      <c r="F487">
        <v>9</v>
      </c>
      <c r="G487" t="s">
        <v>16</v>
      </c>
      <c r="H487" t="s">
        <v>51</v>
      </c>
      <c r="I487">
        <v>75000</v>
      </c>
      <c r="J487">
        <v>8000</v>
      </c>
      <c r="K487">
        <v>28</v>
      </c>
      <c r="L487" t="s">
        <v>18</v>
      </c>
      <c r="M487" t="s">
        <v>23</v>
      </c>
    </row>
    <row r="488" spans="1:13" x14ac:dyDescent="0.3">
      <c r="A488">
        <v>38</v>
      </c>
      <c r="B488" t="s">
        <v>13</v>
      </c>
      <c r="C488" t="s">
        <v>20</v>
      </c>
      <c r="D488" t="s">
        <v>15</v>
      </c>
      <c r="E488">
        <v>15</v>
      </c>
      <c r="F488">
        <v>3</v>
      </c>
      <c r="G488" t="s">
        <v>16</v>
      </c>
      <c r="H488" t="s">
        <v>51</v>
      </c>
      <c r="I488">
        <v>75000</v>
      </c>
      <c r="J488">
        <v>0</v>
      </c>
      <c r="K488">
        <v>28</v>
      </c>
      <c r="L488" t="s">
        <v>18</v>
      </c>
      <c r="M488" t="s">
        <v>23</v>
      </c>
    </row>
    <row r="489" spans="1:13" x14ac:dyDescent="0.3">
      <c r="A489">
        <v>31</v>
      </c>
      <c r="B489" t="s">
        <v>13</v>
      </c>
      <c r="C489" t="s">
        <v>20</v>
      </c>
      <c r="D489" t="s">
        <v>21</v>
      </c>
      <c r="E489">
        <v>9</v>
      </c>
      <c r="F489">
        <v>9</v>
      </c>
      <c r="G489" t="s">
        <v>16</v>
      </c>
      <c r="H489" t="s">
        <v>521</v>
      </c>
      <c r="I489">
        <v>67473</v>
      </c>
      <c r="J489">
        <v>0</v>
      </c>
      <c r="K489">
        <v>28</v>
      </c>
      <c r="L489" t="s">
        <v>18</v>
      </c>
      <c r="M489" t="s">
        <v>23</v>
      </c>
    </row>
    <row r="490" spans="1:13" x14ac:dyDescent="0.3">
      <c r="A490">
        <v>38</v>
      </c>
      <c r="B490" t="s">
        <v>13</v>
      </c>
      <c r="C490" t="s">
        <v>20</v>
      </c>
      <c r="D490" t="s">
        <v>45</v>
      </c>
      <c r="E490">
        <v>18</v>
      </c>
      <c r="F490">
        <v>4</v>
      </c>
      <c r="G490" t="s">
        <v>24</v>
      </c>
      <c r="H490" t="s">
        <v>46</v>
      </c>
      <c r="I490">
        <v>80000</v>
      </c>
      <c r="J490">
        <v>4000</v>
      </c>
      <c r="K490">
        <v>28</v>
      </c>
      <c r="L490" t="s">
        <v>18</v>
      </c>
      <c r="M490" t="s">
        <v>23</v>
      </c>
    </row>
    <row r="491" spans="1:13" x14ac:dyDescent="0.3">
      <c r="A491">
        <v>32</v>
      </c>
      <c r="B491" t="s">
        <v>13</v>
      </c>
      <c r="C491" t="s">
        <v>20</v>
      </c>
      <c r="D491" t="s">
        <v>205</v>
      </c>
      <c r="E491">
        <v>10</v>
      </c>
      <c r="F491">
        <v>4</v>
      </c>
      <c r="G491" t="s">
        <v>205</v>
      </c>
      <c r="H491" t="s">
        <v>32</v>
      </c>
      <c r="I491">
        <v>200000</v>
      </c>
      <c r="J491">
        <v>200000</v>
      </c>
      <c r="K491">
        <v>28</v>
      </c>
      <c r="L491" t="s">
        <v>18</v>
      </c>
      <c r="M491" t="s">
        <v>23</v>
      </c>
    </row>
    <row r="492" spans="1:13" x14ac:dyDescent="0.3">
      <c r="A492">
        <v>27</v>
      </c>
      <c r="B492" t="s">
        <v>33</v>
      </c>
      <c r="C492" t="s">
        <v>20</v>
      </c>
      <c r="D492" t="s">
        <v>21</v>
      </c>
      <c r="E492">
        <v>1</v>
      </c>
      <c r="F492">
        <v>1</v>
      </c>
      <c r="G492" t="s">
        <v>26</v>
      </c>
      <c r="H492" t="s">
        <v>32</v>
      </c>
      <c r="I492">
        <v>42000</v>
      </c>
      <c r="J492">
        <v>3000</v>
      </c>
      <c r="K492">
        <v>28</v>
      </c>
      <c r="L492" t="s">
        <v>36</v>
      </c>
      <c r="M492" t="s">
        <v>23</v>
      </c>
    </row>
    <row r="493" spans="1:13" x14ac:dyDescent="0.3">
      <c r="A493">
        <v>27</v>
      </c>
      <c r="B493" t="s">
        <v>13</v>
      </c>
      <c r="C493" t="s">
        <v>14</v>
      </c>
      <c r="D493" t="s">
        <v>15</v>
      </c>
      <c r="E493">
        <v>2</v>
      </c>
      <c r="F493">
        <v>5</v>
      </c>
      <c r="G493" t="s">
        <v>26</v>
      </c>
      <c r="H493" t="s">
        <v>32</v>
      </c>
      <c r="I493">
        <v>68000</v>
      </c>
      <c r="J493">
        <v>2000</v>
      </c>
      <c r="K493">
        <v>28</v>
      </c>
      <c r="L493" t="s">
        <v>18</v>
      </c>
      <c r="M493" t="s">
        <v>23</v>
      </c>
    </row>
    <row r="494" spans="1:13" x14ac:dyDescent="0.3">
      <c r="A494">
        <v>32</v>
      </c>
      <c r="B494" t="s">
        <v>13</v>
      </c>
      <c r="C494" t="s">
        <v>34</v>
      </c>
      <c r="D494" t="s">
        <v>21</v>
      </c>
      <c r="E494">
        <v>14</v>
      </c>
      <c r="F494">
        <v>6</v>
      </c>
      <c r="G494" t="s">
        <v>24</v>
      </c>
      <c r="H494" t="s">
        <v>32</v>
      </c>
      <c r="I494">
        <v>80000</v>
      </c>
      <c r="J494">
        <v>5000</v>
      </c>
      <c r="K494">
        <v>28</v>
      </c>
      <c r="L494" t="s">
        <v>18</v>
      </c>
      <c r="M494" t="s">
        <v>23</v>
      </c>
    </row>
    <row r="495" spans="1:13" x14ac:dyDescent="0.3">
      <c r="A495">
        <v>32</v>
      </c>
      <c r="B495" t="s">
        <v>33</v>
      </c>
      <c r="C495" t="s">
        <v>20</v>
      </c>
      <c r="D495" t="s">
        <v>15</v>
      </c>
      <c r="E495">
        <v>6</v>
      </c>
      <c r="F495">
        <v>4</v>
      </c>
      <c r="G495" t="s">
        <v>24</v>
      </c>
      <c r="H495" t="s">
        <v>32</v>
      </c>
      <c r="I495">
        <v>75000</v>
      </c>
      <c r="K495">
        <v>28</v>
      </c>
      <c r="L495" t="s">
        <v>18</v>
      </c>
      <c r="M495" t="s">
        <v>23</v>
      </c>
    </row>
    <row r="496" spans="1:13" x14ac:dyDescent="0.3">
      <c r="A496">
        <v>43</v>
      </c>
      <c r="B496" t="s">
        <v>13</v>
      </c>
      <c r="C496" t="s">
        <v>20</v>
      </c>
      <c r="D496" t="s">
        <v>21</v>
      </c>
      <c r="E496">
        <v>5</v>
      </c>
      <c r="F496">
        <v>1.5</v>
      </c>
      <c r="G496" t="s">
        <v>28</v>
      </c>
      <c r="H496" t="s">
        <v>32</v>
      </c>
      <c r="I496">
        <v>64000</v>
      </c>
      <c r="J496">
        <v>6000</v>
      </c>
      <c r="K496">
        <v>28</v>
      </c>
      <c r="L496" t="s">
        <v>18</v>
      </c>
      <c r="M496" t="s">
        <v>23</v>
      </c>
    </row>
    <row r="497" spans="1:13" x14ac:dyDescent="0.3">
      <c r="A497">
        <v>36</v>
      </c>
      <c r="B497" t="s">
        <v>13</v>
      </c>
      <c r="C497" t="s">
        <v>20</v>
      </c>
      <c r="D497" t="s">
        <v>21</v>
      </c>
      <c r="E497">
        <v>4</v>
      </c>
      <c r="F497">
        <v>1</v>
      </c>
      <c r="G497" t="s">
        <v>28</v>
      </c>
      <c r="H497" t="s">
        <v>32</v>
      </c>
      <c r="I497">
        <v>55000</v>
      </c>
      <c r="J497">
        <v>0</v>
      </c>
      <c r="K497">
        <v>28</v>
      </c>
      <c r="L497" t="s">
        <v>18</v>
      </c>
      <c r="M497" t="s">
        <v>23</v>
      </c>
    </row>
    <row r="498" spans="1:13" x14ac:dyDescent="0.3">
      <c r="A498">
        <v>38</v>
      </c>
      <c r="B498" t="s">
        <v>13</v>
      </c>
      <c r="C498" t="s">
        <v>20</v>
      </c>
      <c r="D498" t="s">
        <v>21</v>
      </c>
      <c r="E498">
        <v>5</v>
      </c>
      <c r="F498">
        <v>1</v>
      </c>
      <c r="G498" t="s">
        <v>28</v>
      </c>
      <c r="H498" t="s">
        <v>32</v>
      </c>
      <c r="I498">
        <v>66000</v>
      </c>
      <c r="J498">
        <v>0</v>
      </c>
      <c r="K498">
        <v>28</v>
      </c>
      <c r="L498" t="s">
        <v>18</v>
      </c>
      <c r="M498" t="s">
        <v>23</v>
      </c>
    </row>
    <row r="499" spans="1:13" x14ac:dyDescent="0.3">
      <c r="A499">
        <v>31</v>
      </c>
      <c r="B499" t="s">
        <v>13</v>
      </c>
      <c r="C499" t="s">
        <v>20</v>
      </c>
      <c r="D499" t="s">
        <v>21</v>
      </c>
      <c r="E499">
        <v>5</v>
      </c>
      <c r="F499">
        <v>1</v>
      </c>
      <c r="G499" t="s">
        <v>28</v>
      </c>
      <c r="H499" t="s">
        <v>32</v>
      </c>
      <c r="I499">
        <v>65000</v>
      </c>
      <c r="K499">
        <v>28</v>
      </c>
      <c r="L499" t="s">
        <v>18</v>
      </c>
      <c r="M499" t="s">
        <v>23</v>
      </c>
    </row>
    <row r="500" spans="1:13" x14ac:dyDescent="0.3">
      <c r="A500">
        <v>34</v>
      </c>
      <c r="B500" t="s">
        <v>13</v>
      </c>
      <c r="C500" t="s">
        <v>14</v>
      </c>
      <c r="D500" t="s">
        <v>27</v>
      </c>
      <c r="E500">
        <v>12</v>
      </c>
      <c r="F500">
        <v>2</v>
      </c>
      <c r="G500" t="s">
        <v>28</v>
      </c>
      <c r="H500" t="s">
        <v>32</v>
      </c>
      <c r="I500">
        <v>72000</v>
      </c>
      <c r="J500">
        <v>8000</v>
      </c>
      <c r="K500">
        <v>28</v>
      </c>
      <c r="L500" t="s">
        <v>18</v>
      </c>
      <c r="M500" t="s">
        <v>23</v>
      </c>
    </row>
    <row r="501" spans="1:13" x14ac:dyDescent="0.3">
      <c r="A501">
        <v>33</v>
      </c>
      <c r="B501" t="s">
        <v>33</v>
      </c>
      <c r="C501" t="s">
        <v>20</v>
      </c>
      <c r="D501" t="s">
        <v>52</v>
      </c>
      <c r="E501">
        <v>6</v>
      </c>
      <c r="F501">
        <v>0.5</v>
      </c>
      <c r="G501" t="s">
        <v>28</v>
      </c>
      <c r="H501" t="s">
        <v>32</v>
      </c>
      <c r="I501">
        <v>60000</v>
      </c>
      <c r="K501">
        <v>28</v>
      </c>
      <c r="L501" t="s">
        <v>18</v>
      </c>
      <c r="M501" t="s">
        <v>23</v>
      </c>
    </row>
    <row r="502" spans="1:13" x14ac:dyDescent="0.3">
      <c r="A502">
        <v>59</v>
      </c>
      <c r="B502" t="s">
        <v>13</v>
      </c>
      <c r="C502" t="s">
        <v>20</v>
      </c>
      <c r="D502" t="s">
        <v>21</v>
      </c>
      <c r="E502">
        <v>30</v>
      </c>
      <c r="F502">
        <v>30</v>
      </c>
      <c r="G502" t="s">
        <v>16</v>
      </c>
      <c r="H502" t="s">
        <v>32</v>
      </c>
      <c r="I502">
        <v>69000</v>
      </c>
      <c r="K502">
        <v>28</v>
      </c>
      <c r="L502" t="s">
        <v>36</v>
      </c>
      <c r="M502" t="s">
        <v>23</v>
      </c>
    </row>
    <row r="503" spans="1:13" x14ac:dyDescent="0.3">
      <c r="A503">
        <v>28</v>
      </c>
      <c r="B503" t="s">
        <v>13</v>
      </c>
      <c r="C503" t="s">
        <v>20</v>
      </c>
      <c r="D503" t="s">
        <v>21</v>
      </c>
      <c r="E503">
        <v>7</v>
      </c>
      <c r="F503">
        <v>3</v>
      </c>
      <c r="G503" t="s">
        <v>16</v>
      </c>
      <c r="H503" t="s">
        <v>32</v>
      </c>
      <c r="I503">
        <v>95000</v>
      </c>
      <c r="J503">
        <v>40000</v>
      </c>
      <c r="K503">
        <v>28</v>
      </c>
      <c r="L503" t="s">
        <v>18</v>
      </c>
      <c r="M503" t="s">
        <v>23</v>
      </c>
    </row>
    <row r="504" spans="1:13" x14ac:dyDescent="0.3">
      <c r="A504">
        <v>36</v>
      </c>
      <c r="B504" t="s">
        <v>13</v>
      </c>
      <c r="C504" t="s">
        <v>20</v>
      </c>
      <c r="D504" t="s">
        <v>21</v>
      </c>
      <c r="E504">
        <v>5</v>
      </c>
      <c r="F504">
        <v>2</v>
      </c>
      <c r="G504" t="s">
        <v>16</v>
      </c>
      <c r="H504" t="s">
        <v>32</v>
      </c>
      <c r="I504">
        <v>70000</v>
      </c>
      <c r="J504">
        <v>0</v>
      </c>
      <c r="K504">
        <v>28</v>
      </c>
      <c r="L504" t="s">
        <v>18</v>
      </c>
      <c r="M504" t="s">
        <v>23</v>
      </c>
    </row>
    <row r="505" spans="1:13" x14ac:dyDescent="0.3">
      <c r="A505">
        <v>43</v>
      </c>
      <c r="B505" t="s">
        <v>13</v>
      </c>
      <c r="C505" t="s">
        <v>14</v>
      </c>
      <c r="D505" t="s">
        <v>230</v>
      </c>
      <c r="E505">
        <v>21</v>
      </c>
      <c r="F505">
        <v>3</v>
      </c>
      <c r="G505" t="s">
        <v>16</v>
      </c>
      <c r="H505" t="s">
        <v>32</v>
      </c>
      <c r="I505">
        <v>72000</v>
      </c>
      <c r="J505">
        <v>0</v>
      </c>
      <c r="K505">
        <v>28</v>
      </c>
      <c r="L505" t="s">
        <v>36</v>
      </c>
      <c r="M505" t="s">
        <v>23</v>
      </c>
    </row>
    <row r="506" spans="1:13" x14ac:dyDescent="0.3">
      <c r="A506">
        <v>46</v>
      </c>
      <c r="B506" t="s">
        <v>13</v>
      </c>
      <c r="C506" t="s">
        <v>14</v>
      </c>
      <c r="D506" t="s">
        <v>52</v>
      </c>
      <c r="E506">
        <v>13</v>
      </c>
      <c r="F506">
        <v>13</v>
      </c>
      <c r="G506" t="s">
        <v>16</v>
      </c>
      <c r="H506" t="s">
        <v>32</v>
      </c>
      <c r="I506">
        <v>70000</v>
      </c>
      <c r="J506">
        <v>8500</v>
      </c>
      <c r="K506">
        <v>28</v>
      </c>
      <c r="L506" t="s">
        <v>36</v>
      </c>
      <c r="M506" t="s">
        <v>23</v>
      </c>
    </row>
    <row r="507" spans="1:13" x14ac:dyDescent="0.3">
      <c r="A507">
        <v>34</v>
      </c>
      <c r="B507" t="s">
        <v>13</v>
      </c>
      <c r="C507" t="s">
        <v>20</v>
      </c>
      <c r="D507" t="s">
        <v>52</v>
      </c>
      <c r="E507">
        <v>10</v>
      </c>
      <c r="F507">
        <v>4</v>
      </c>
      <c r="G507" t="s">
        <v>16</v>
      </c>
      <c r="H507" t="s">
        <v>32</v>
      </c>
      <c r="I507">
        <v>75000</v>
      </c>
      <c r="J507">
        <v>3000</v>
      </c>
      <c r="K507">
        <v>28</v>
      </c>
      <c r="L507" t="s">
        <v>18</v>
      </c>
      <c r="M507" t="s">
        <v>23</v>
      </c>
    </row>
    <row r="508" spans="1:13" x14ac:dyDescent="0.3">
      <c r="A508">
        <v>27</v>
      </c>
      <c r="B508" t="s">
        <v>13</v>
      </c>
      <c r="C508" t="s">
        <v>399</v>
      </c>
      <c r="D508" t="s">
        <v>52</v>
      </c>
      <c r="E508">
        <v>5</v>
      </c>
      <c r="F508">
        <v>1</v>
      </c>
      <c r="G508" t="s">
        <v>16</v>
      </c>
      <c r="H508" t="s">
        <v>32</v>
      </c>
      <c r="I508">
        <v>35000</v>
      </c>
      <c r="J508">
        <v>0</v>
      </c>
      <c r="K508">
        <v>28</v>
      </c>
      <c r="L508" t="s">
        <v>18</v>
      </c>
      <c r="M508" t="s">
        <v>23</v>
      </c>
    </row>
    <row r="509" spans="1:13" x14ac:dyDescent="0.3">
      <c r="A509">
        <v>32</v>
      </c>
      <c r="B509" t="s">
        <v>13</v>
      </c>
      <c r="C509" t="s">
        <v>34</v>
      </c>
      <c r="D509" t="s">
        <v>15</v>
      </c>
      <c r="E509">
        <v>12</v>
      </c>
      <c r="F509">
        <v>7</v>
      </c>
      <c r="G509" t="s">
        <v>16</v>
      </c>
      <c r="H509" t="s">
        <v>32</v>
      </c>
      <c r="I509">
        <v>66300</v>
      </c>
      <c r="J509">
        <v>1000</v>
      </c>
      <c r="K509">
        <v>28</v>
      </c>
      <c r="L509" t="s">
        <v>36</v>
      </c>
      <c r="M509" t="s">
        <v>23</v>
      </c>
    </row>
    <row r="510" spans="1:13" x14ac:dyDescent="0.3">
      <c r="A510">
        <v>28</v>
      </c>
      <c r="B510" t="s">
        <v>13</v>
      </c>
      <c r="C510" t="s">
        <v>193</v>
      </c>
      <c r="D510" t="s">
        <v>15</v>
      </c>
      <c r="E510">
        <v>8</v>
      </c>
      <c r="F510">
        <v>0</v>
      </c>
      <c r="G510" t="s">
        <v>16</v>
      </c>
      <c r="H510" t="s">
        <v>32</v>
      </c>
      <c r="I510">
        <v>75000</v>
      </c>
      <c r="J510">
        <v>0</v>
      </c>
      <c r="K510">
        <v>28</v>
      </c>
      <c r="L510" t="s">
        <v>18</v>
      </c>
      <c r="M510" t="s">
        <v>23</v>
      </c>
    </row>
    <row r="511" spans="1:13" x14ac:dyDescent="0.3">
      <c r="A511">
        <v>48</v>
      </c>
      <c r="B511" t="s">
        <v>13</v>
      </c>
      <c r="C511" t="s">
        <v>20</v>
      </c>
      <c r="D511" t="s">
        <v>15</v>
      </c>
      <c r="E511">
        <v>25</v>
      </c>
      <c r="F511">
        <v>11</v>
      </c>
      <c r="G511" t="s">
        <v>16</v>
      </c>
      <c r="H511" t="s">
        <v>32</v>
      </c>
      <c r="I511">
        <v>75000</v>
      </c>
      <c r="K511">
        <v>28</v>
      </c>
      <c r="L511" t="s">
        <v>18</v>
      </c>
      <c r="M511" t="s">
        <v>23</v>
      </c>
    </row>
    <row r="512" spans="1:13" x14ac:dyDescent="0.3">
      <c r="A512">
        <v>31</v>
      </c>
      <c r="B512" t="s">
        <v>13</v>
      </c>
      <c r="C512" t="s">
        <v>14</v>
      </c>
      <c r="D512" t="s">
        <v>15</v>
      </c>
      <c r="E512">
        <v>10</v>
      </c>
      <c r="F512">
        <v>4</v>
      </c>
      <c r="G512" t="s">
        <v>24</v>
      </c>
      <c r="H512" t="s">
        <v>32</v>
      </c>
      <c r="I512">
        <v>70000</v>
      </c>
      <c r="J512">
        <v>77000</v>
      </c>
      <c r="K512">
        <v>28</v>
      </c>
      <c r="L512" t="s">
        <v>18</v>
      </c>
      <c r="M512" t="s">
        <v>23</v>
      </c>
    </row>
    <row r="513" spans="1:13" x14ac:dyDescent="0.3">
      <c r="A513">
        <v>37</v>
      </c>
      <c r="B513" t="s">
        <v>13</v>
      </c>
      <c r="C513" t="s">
        <v>20</v>
      </c>
      <c r="D513" t="s">
        <v>52</v>
      </c>
      <c r="E513">
        <v>6</v>
      </c>
      <c r="F513">
        <v>6</v>
      </c>
      <c r="G513" t="s">
        <v>28</v>
      </c>
      <c r="H513" t="s">
        <v>32</v>
      </c>
      <c r="I513">
        <v>69200</v>
      </c>
      <c r="J513">
        <v>0</v>
      </c>
      <c r="K513">
        <v>28</v>
      </c>
      <c r="L513" t="s">
        <v>18</v>
      </c>
      <c r="M513" t="s">
        <v>23</v>
      </c>
    </row>
    <row r="514" spans="1:13" x14ac:dyDescent="0.3">
      <c r="A514">
        <v>28</v>
      </c>
      <c r="B514" t="s">
        <v>33</v>
      </c>
      <c r="C514" t="s">
        <v>20</v>
      </c>
      <c r="D514" t="s">
        <v>15</v>
      </c>
      <c r="E514">
        <v>8</v>
      </c>
      <c r="F514">
        <v>0</v>
      </c>
      <c r="G514" t="s">
        <v>24</v>
      </c>
      <c r="H514" t="s">
        <v>55</v>
      </c>
      <c r="I514">
        <v>80000</v>
      </c>
      <c r="J514">
        <v>0</v>
      </c>
      <c r="K514">
        <v>28</v>
      </c>
      <c r="L514" t="s">
        <v>18</v>
      </c>
      <c r="M514" t="s">
        <v>23</v>
      </c>
    </row>
    <row r="515" spans="1:13" x14ac:dyDescent="0.3">
      <c r="B515" t="s">
        <v>13</v>
      </c>
      <c r="C515" t="s">
        <v>140</v>
      </c>
      <c r="D515" t="s">
        <v>25</v>
      </c>
      <c r="F515">
        <v>6</v>
      </c>
      <c r="G515" t="s">
        <v>28</v>
      </c>
      <c r="H515" t="s">
        <v>55</v>
      </c>
      <c r="I515">
        <v>40800</v>
      </c>
      <c r="J515">
        <v>3400</v>
      </c>
      <c r="K515">
        <v>28</v>
      </c>
      <c r="L515" t="s">
        <v>36</v>
      </c>
      <c r="M515" t="s">
        <v>23</v>
      </c>
    </row>
    <row r="516" spans="1:13" x14ac:dyDescent="0.3">
      <c r="A516">
        <v>35</v>
      </c>
      <c r="B516" t="s">
        <v>13</v>
      </c>
      <c r="C516" t="s">
        <v>20</v>
      </c>
      <c r="D516" t="s">
        <v>25</v>
      </c>
      <c r="E516">
        <v>4</v>
      </c>
      <c r="F516">
        <v>1</v>
      </c>
      <c r="G516" t="s">
        <v>28</v>
      </c>
      <c r="H516" t="s">
        <v>55</v>
      </c>
      <c r="I516">
        <v>50000</v>
      </c>
      <c r="J516">
        <v>5000</v>
      </c>
      <c r="K516">
        <v>28</v>
      </c>
      <c r="L516" t="s">
        <v>18</v>
      </c>
      <c r="M516" t="s">
        <v>23</v>
      </c>
    </row>
    <row r="517" spans="1:13" x14ac:dyDescent="0.3">
      <c r="A517">
        <v>27</v>
      </c>
      <c r="B517" t="s">
        <v>33</v>
      </c>
      <c r="C517" t="s">
        <v>14</v>
      </c>
      <c r="D517" t="s">
        <v>25</v>
      </c>
      <c r="E517">
        <v>2</v>
      </c>
      <c r="F517">
        <v>2</v>
      </c>
      <c r="G517" t="s">
        <v>28</v>
      </c>
      <c r="H517" t="s">
        <v>55</v>
      </c>
      <c r="I517">
        <v>64000</v>
      </c>
      <c r="J517">
        <v>0</v>
      </c>
      <c r="K517">
        <v>28</v>
      </c>
      <c r="L517" t="s">
        <v>18</v>
      </c>
      <c r="M517" t="s">
        <v>23</v>
      </c>
    </row>
    <row r="518" spans="1:13" x14ac:dyDescent="0.3">
      <c r="A518">
        <v>28</v>
      </c>
      <c r="B518" t="s">
        <v>33</v>
      </c>
      <c r="C518" t="s">
        <v>20</v>
      </c>
      <c r="D518" t="s">
        <v>25</v>
      </c>
      <c r="E518">
        <v>3</v>
      </c>
      <c r="F518">
        <v>3</v>
      </c>
      <c r="G518" t="s">
        <v>28</v>
      </c>
      <c r="H518" t="s">
        <v>55</v>
      </c>
      <c r="I518">
        <v>54500</v>
      </c>
      <c r="K518">
        <v>28</v>
      </c>
      <c r="L518" t="s">
        <v>18</v>
      </c>
      <c r="M518" t="s">
        <v>23</v>
      </c>
    </row>
    <row r="519" spans="1:13" x14ac:dyDescent="0.3">
      <c r="A519">
        <v>28</v>
      </c>
      <c r="B519" t="s">
        <v>33</v>
      </c>
      <c r="C519" t="s">
        <v>20</v>
      </c>
      <c r="D519" t="s">
        <v>15</v>
      </c>
      <c r="E519">
        <v>3</v>
      </c>
      <c r="F519">
        <v>3</v>
      </c>
      <c r="G519" t="s">
        <v>28</v>
      </c>
      <c r="H519" t="s">
        <v>55</v>
      </c>
      <c r="I519">
        <v>60000</v>
      </c>
      <c r="J519">
        <v>0</v>
      </c>
      <c r="K519">
        <v>28</v>
      </c>
      <c r="L519" t="s">
        <v>18</v>
      </c>
      <c r="M519" t="s">
        <v>23</v>
      </c>
    </row>
    <row r="520" spans="1:13" x14ac:dyDescent="0.3">
      <c r="A520">
        <v>30</v>
      </c>
      <c r="B520" t="s">
        <v>13</v>
      </c>
      <c r="C520" t="s">
        <v>34</v>
      </c>
      <c r="D520" t="s">
        <v>25</v>
      </c>
      <c r="E520">
        <v>7</v>
      </c>
      <c r="F520">
        <v>1</v>
      </c>
      <c r="G520" t="s">
        <v>16</v>
      </c>
      <c r="H520" t="s">
        <v>55</v>
      </c>
      <c r="I520">
        <v>55000</v>
      </c>
      <c r="K520">
        <v>28</v>
      </c>
      <c r="L520" t="s">
        <v>18</v>
      </c>
      <c r="M520" t="s">
        <v>23</v>
      </c>
    </row>
    <row r="521" spans="1:13" x14ac:dyDescent="0.3">
      <c r="A521">
        <v>30</v>
      </c>
      <c r="B521" t="s">
        <v>13</v>
      </c>
      <c r="C521" t="s">
        <v>20</v>
      </c>
      <c r="D521" t="s">
        <v>15</v>
      </c>
      <c r="E521">
        <v>8</v>
      </c>
      <c r="F521">
        <v>3</v>
      </c>
      <c r="G521" t="s">
        <v>16</v>
      </c>
      <c r="H521" t="s">
        <v>55</v>
      </c>
      <c r="I521">
        <v>80000</v>
      </c>
      <c r="K521">
        <v>28</v>
      </c>
      <c r="L521" t="s">
        <v>18</v>
      </c>
      <c r="M521" t="s">
        <v>23</v>
      </c>
    </row>
    <row r="522" spans="1:13" x14ac:dyDescent="0.3">
      <c r="A522">
        <v>33</v>
      </c>
      <c r="B522" t="s">
        <v>13</v>
      </c>
      <c r="C522" t="s">
        <v>20</v>
      </c>
      <c r="D522" t="s">
        <v>15</v>
      </c>
      <c r="E522">
        <v>12</v>
      </c>
      <c r="F522">
        <v>5</v>
      </c>
      <c r="G522" t="s">
        <v>16</v>
      </c>
      <c r="H522" t="s">
        <v>55</v>
      </c>
      <c r="I522">
        <v>120000</v>
      </c>
      <c r="K522">
        <v>28</v>
      </c>
      <c r="L522" t="s">
        <v>18</v>
      </c>
      <c r="M522" t="s">
        <v>23</v>
      </c>
    </row>
    <row r="523" spans="1:13" x14ac:dyDescent="0.3">
      <c r="A523">
        <v>34</v>
      </c>
      <c r="B523" t="s">
        <v>13</v>
      </c>
      <c r="C523" t="s">
        <v>14</v>
      </c>
      <c r="D523" t="s">
        <v>25</v>
      </c>
      <c r="E523">
        <v>5</v>
      </c>
      <c r="F523">
        <v>4</v>
      </c>
      <c r="G523" t="s">
        <v>16</v>
      </c>
      <c r="H523" t="s">
        <v>55</v>
      </c>
      <c r="I523">
        <v>54000</v>
      </c>
      <c r="J523">
        <v>54000</v>
      </c>
      <c r="K523">
        <v>28</v>
      </c>
      <c r="L523" t="s">
        <v>18</v>
      </c>
      <c r="M523" t="s">
        <v>23</v>
      </c>
    </row>
    <row r="524" spans="1:13" x14ac:dyDescent="0.3">
      <c r="A524">
        <v>25</v>
      </c>
      <c r="B524" t="s">
        <v>33</v>
      </c>
      <c r="C524" t="s">
        <v>387</v>
      </c>
      <c r="D524" t="s">
        <v>25</v>
      </c>
      <c r="E524">
        <v>4</v>
      </c>
      <c r="F524">
        <v>0</v>
      </c>
      <c r="G524" t="s">
        <v>28</v>
      </c>
      <c r="H524" t="s">
        <v>55</v>
      </c>
      <c r="I524">
        <v>45000</v>
      </c>
      <c r="J524">
        <v>45000</v>
      </c>
      <c r="K524">
        <v>28</v>
      </c>
      <c r="L524" t="s">
        <v>18</v>
      </c>
      <c r="M524" t="s">
        <v>23</v>
      </c>
    </row>
    <row r="525" spans="1:13" x14ac:dyDescent="0.3">
      <c r="A525">
        <v>25</v>
      </c>
      <c r="B525" t="s">
        <v>13</v>
      </c>
      <c r="C525" t="s">
        <v>14</v>
      </c>
      <c r="D525" t="s">
        <v>25</v>
      </c>
      <c r="E525">
        <v>7</v>
      </c>
      <c r="F525">
        <v>1</v>
      </c>
      <c r="G525" t="s">
        <v>16</v>
      </c>
      <c r="H525" t="s">
        <v>55</v>
      </c>
      <c r="I525">
        <v>70000</v>
      </c>
      <c r="J525">
        <v>6000</v>
      </c>
      <c r="K525">
        <v>28</v>
      </c>
      <c r="L525" t="s">
        <v>18</v>
      </c>
      <c r="M525" t="s">
        <v>23</v>
      </c>
    </row>
    <row r="526" spans="1:13" x14ac:dyDescent="0.3">
      <c r="A526">
        <v>33</v>
      </c>
      <c r="B526" t="s">
        <v>13</v>
      </c>
      <c r="C526" t="s">
        <v>20</v>
      </c>
      <c r="D526" t="s">
        <v>25</v>
      </c>
      <c r="E526">
        <v>10</v>
      </c>
      <c r="F526">
        <v>4</v>
      </c>
      <c r="G526" t="s">
        <v>16</v>
      </c>
      <c r="H526" t="s">
        <v>55</v>
      </c>
      <c r="I526">
        <v>74000</v>
      </c>
      <c r="K526">
        <v>28</v>
      </c>
      <c r="L526" t="s">
        <v>18</v>
      </c>
      <c r="M526" t="s">
        <v>23</v>
      </c>
    </row>
    <row r="527" spans="1:13" x14ac:dyDescent="0.3">
      <c r="A527">
        <v>34</v>
      </c>
      <c r="B527" t="s">
        <v>13</v>
      </c>
      <c r="C527" t="s">
        <v>20</v>
      </c>
      <c r="D527" t="s">
        <v>43</v>
      </c>
      <c r="E527">
        <v>11</v>
      </c>
      <c r="F527">
        <v>5</v>
      </c>
      <c r="G527" t="s">
        <v>24</v>
      </c>
      <c r="H527" t="s">
        <v>40</v>
      </c>
      <c r="I527">
        <v>80000</v>
      </c>
      <c r="J527">
        <v>80000</v>
      </c>
      <c r="K527">
        <v>28</v>
      </c>
      <c r="L527" t="s">
        <v>18</v>
      </c>
      <c r="M527" t="s">
        <v>23</v>
      </c>
    </row>
    <row r="528" spans="1:13" x14ac:dyDescent="0.3">
      <c r="A528">
        <v>28</v>
      </c>
      <c r="B528" t="s">
        <v>13</v>
      </c>
      <c r="C528" t="s">
        <v>14</v>
      </c>
      <c r="D528" t="s">
        <v>21</v>
      </c>
      <c r="E528">
        <v>5</v>
      </c>
      <c r="F528">
        <v>4</v>
      </c>
      <c r="G528" t="s">
        <v>16</v>
      </c>
      <c r="H528" t="s">
        <v>40</v>
      </c>
      <c r="I528">
        <v>72000</v>
      </c>
      <c r="K528">
        <v>28</v>
      </c>
      <c r="L528" t="s">
        <v>18</v>
      </c>
      <c r="M528" t="s">
        <v>23</v>
      </c>
    </row>
    <row r="529" spans="1:13" x14ac:dyDescent="0.3">
      <c r="A529">
        <v>29</v>
      </c>
      <c r="B529" t="s">
        <v>13</v>
      </c>
      <c r="C529" t="s">
        <v>20</v>
      </c>
      <c r="D529" t="s">
        <v>27</v>
      </c>
      <c r="E529">
        <v>7</v>
      </c>
      <c r="F529">
        <v>3</v>
      </c>
      <c r="G529" t="s">
        <v>16</v>
      </c>
      <c r="H529" t="s">
        <v>47</v>
      </c>
      <c r="I529">
        <v>82000</v>
      </c>
      <c r="J529">
        <v>0</v>
      </c>
      <c r="K529">
        <v>28</v>
      </c>
      <c r="L529" t="s">
        <v>18</v>
      </c>
      <c r="M529" t="s">
        <v>23</v>
      </c>
    </row>
    <row r="530" spans="1:13" x14ac:dyDescent="0.3">
      <c r="A530">
        <v>29</v>
      </c>
      <c r="B530" t="s">
        <v>13</v>
      </c>
      <c r="C530" t="s">
        <v>20</v>
      </c>
      <c r="D530" t="s">
        <v>27</v>
      </c>
      <c r="E530">
        <v>7</v>
      </c>
      <c r="F530">
        <v>1</v>
      </c>
      <c r="G530" t="s">
        <v>24</v>
      </c>
      <c r="H530" t="s">
        <v>47</v>
      </c>
      <c r="I530">
        <v>78000</v>
      </c>
      <c r="J530">
        <v>10000</v>
      </c>
      <c r="K530">
        <v>28</v>
      </c>
      <c r="L530" t="s">
        <v>18</v>
      </c>
      <c r="M530" t="s">
        <v>23</v>
      </c>
    </row>
    <row r="531" spans="1:13" x14ac:dyDescent="0.3">
      <c r="A531">
        <v>39</v>
      </c>
      <c r="B531" t="s">
        <v>13</v>
      </c>
      <c r="C531" t="s">
        <v>14</v>
      </c>
      <c r="D531" t="s">
        <v>149</v>
      </c>
      <c r="E531">
        <v>17</v>
      </c>
      <c r="F531">
        <v>5</v>
      </c>
      <c r="G531" t="s">
        <v>16</v>
      </c>
      <c r="H531" t="s">
        <v>150</v>
      </c>
      <c r="I531">
        <v>64000</v>
      </c>
      <c r="J531">
        <v>70000</v>
      </c>
      <c r="K531">
        <v>28</v>
      </c>
      <c r="L531" t="s">
        <v>18</v>
      </c>
      <c r="M531" t="s">
        <v>23</v>
      </c>
    </row>
    <row r="532" spans="1:13" x14ac:dyDescent="0.3">
      <c r="A532">
        <v>39</v>
      </c>
      <c r="B532" t="s">
        <v>13</v>
      </c>
      <c r="C532" t="s">
        <v>14</v>
      </c>
      <c r="D532" t="s">
        <v>413</v>
      </c>
      <c r="E532">
        <v>15</v>
      </c>
      <c r="F532">
        <v>2</v>
      </c>
      <c r="G532" t="s">
        <v>24</v>
      </c>
      <c r="H532" t="s">
        <v>31</v>
      </c>
      <c r="I532">
        <v>110000</v>
      </c>
      <c r="J532">
        <v>0</v>
      </c>
      <c r="K532">
        <v>28</v>
      </c>
      <c r="L532" t="s">
        <v>18</v>
      </c>
      <c r="M532" t="s">
        <v>23</v>
      </c>
    </row>
    <row r="533" spans="1:13" x14ac:dyDescent="0.3">
      <c r="A533">
        <v>36</v>
      </c>
      <c r="B533" t="s">
        <v>13</v>
      </c>
      <c r="C533" t="s">
        <v>20</v>
      </c>
      <c r="D533" t="s">
        <v>15</v>
      </c>
      <c r="E533">
        <v>17</v>
      </c>
      <c r="F533">
        <v>2</v>
      </c>
      <c r="G533" t="s">
        <v>24</v>
      </c>
      <c r="H533" t="s">
        <v>31</v>
      </c>
      <c r="I533">
        <v>70000</v>
      </c>
      <c r="K533">
        <v>28</v>
      </c>
      <c r="L533" t="s">
        <v>18</v>
      </c>
      <c r="M533" t="s">
        <v>23</v>
      </c>
    </row>
    <row r="534" spans="1:13" x14ac:dyDescent="0.3">
      <c r="A534">
        <v>35</v>
      </c>
      <c r="B534" t="s">
        <v>13</v>
      </c>
      <c r="C534" t="s">
        <v>14</v>
      </c>
      <c r="D534" t="s">
        <v>15</v>
      </c>
      <c r="E534">
        <v>16</v>
      </c>
      <c r="F534">
        <v>8</v>
      </c>
      <c r="G534" t="s">
        <v>24</v>
      </c>
      <c r="H534" t="s">
        <v>31</v>
      </c>
      <c r="I534">
        <v>84000</v>
      </c>
      <c r="K534">
        <v>28</v>
      </c>
      <c r="L534" t="s">
        <v>18</v>
      </c>
      <c r="M534" t="s">
        <v>23</v>
      </c>
    </row>
    <row r="535" spans="1:13" x14ac:dyDescent="0.3">
      <c r="A535">
        <v>36</v>
      </c>
      <c r="B535" t="s">
        <v>33</v>
      </c>
      <c r="C535" t="s">
        <v>14</v>
      </c>
      <c r="D535" t="s">
        <v>21</v>
      </c>
      <c r="E535">
        <v>5</v>
      </c>
      <c r="F535">
        <v>1</v>
      </c>
      <c r="G535" t="s">
        <v>28</v>
      </c>
      <c r="H535" t="s">
        <v>31</v>
      </c>
      <c r="I535">
        <v>60000</v>
      </c>
      <c r="J535">
        <v>5000</v>
      </c>
      <c r="K535">
        <v>28</v>
      </c>
      <c r="L535" t="s">
        <v>18</v>
      </c>
      <c r="M535" t="s">
        <v>23</v>
      </c>
    </row>
    <row r="536" spans="1:13" x14ac:dyDescent="0.3">
      <c r="A536">
        <v>27</v>
      </c>
      <c r="B536" t="s">
        <v>13</v>
      </c>
      <c r="C536" t="s">
        <v>378</v>
      </c>
      <c r="D536" t="s">
        <v>21</v>
      </c>
      <c r="E536">
        <v>2</v>
      </c>
      <c r="F536">
        <v>0</v>
      </c>
      <c r="G536" t="s">
        <v>28</v>
      </c>
      <c r="H536" t="s">
        <v>31</v>
      </c>
      <c r="I536">
        <v>50000</v>
      </c>
      <c r="J536">
        <v>0</v>
      </c>
      <c r="K536">
        <v>28</v>
      </c>
      <c r="L536" t="s">
        <v>18</v>
      </c>
      <c r="M536" t="s">
        <v>23</v>
      </c>
    </row>
    <row r="537" spans="1:13" x14ac:dyDescent="0.3">
      <c r="A537">
        <v>33</v>
      </c>
      <c r="B537" t="s">
        <v>13</v>
      </c>
      <c r="C537" t="s">
        <v>14</v>
      </c>
      <c r="D537" t="s">
        <v>21</v>
      </c>
      <c r="E537">
        <v>12</v>
      </c>
      <c r="F537">
        <v>0.5</v>
      </c>
      <c r="G537" t="s">
        <v>28</v>
      </c>
      <c r="H537" t="s">
        <v>31</v>
      </c>
      <c r="I537">
        <v>56000</v>
      </c>
      <c r="J537">
        <v>0</v>
      </c>
      <c r="K537">
        <v>28</v>
      </c>
      <c r="L537" t="s">
        <v>18</v>
      </c>
      <c r="M537" t="s">
        <v>23</v>
      </c>
    </row>
    <row r="538" spans="1:13" x14ac:dyDescent="0.3">
      <c r="A538">
        <v>34</v>
      </c>
      <c r="B538" t="s">
        <v>13</v>
      </c>
      <c r="C538" t="s">
        <v>207</v>
      </c>
      <c r="D538" t="s">
        <v>15</v>
      </c>
      <c r="E538">
        <v>12</v>
      </c>
      <c r="F538">
        <v>0</v>
      </c>
      <c r="G538" t="s">
        <v>28</v>
      </c>
      <c r="H538" t="s">
        <v>31</v>
      </c>
      <c r="I538">
        <v>54000</v>
      </c>
      <c r="K538">
        <v>28</v>
      </c>
      <c r="L538" t="s">
        <v>18</v>
      </c>
      <c r="M538" t="s">
        <v>23</v>
      </c>
    </row>
    <row r="539" spans="1:13" x14ac:dyDescent="0.3">
      <c r="A539">
        <v>37</v>
      </c>
      <c r="B539" t="s">
        <v>13</v>
      </c>
      <c r="C539" t="s">
        <v>14</v>
      </c>
      <c r="D539" t="s">
        <v>21</v>
      </c>
      <c r="E539">
        <v>12</v>
      </c>
      <c r="F539">
        <v>4</v>
      </c>
      <c r="G539" t="s">
        <v>16</v>
      </c>
      <c r="H539" t="s">
        <v>31</v>
      </c>
      <c r="I539">
        <v>62000</v>
      </c>
      <c r="J539">
        <v>5000</v>
      </c>
      <c r="K539">
        <v>28</v>
      </c>
      <c r="L539" t="s">
        <v>18</v>
      </c>
      <c r="M539" t="s">
        <v>23</v>
      </c>
    </row>
    <row r="540" spans="1:13" x14ac:dyDescent="0.3">
      <c r="A540">
        <v>29</v>
      </c>
      <c r="B540" t="s">
        <v>13</v>
      </c>
      <c r="C540" t="s">
        <v>20</v>
      </c>
      <c r="D540" t="s">
        <v>21</v>
      </c>
      <c r="E540">
        <v>8</v>
      </c>
      <c r="F540">
        <v>2</v>
      </c>
      <c r="G540" t="s">
        <v>16</v>
      </c>
      <c r="H540" t="s">
        <v>31</v>
      </c>
      <c r="I540">
        <v>56000</v>
      </c>
      <c r="K540">
        <v>28</v>
      </c>
      <c r="L540" t="s">
        <v>18</v>
      </c>
      <c r="M540" t="s">
        <v>23</v>
      </c>
    </row>
    <row r="541" spans="1:13" x14ac:dyDescent="0.3">
      <c r="A541">
        <v>36</v>
      </c>
      <c r="B541" t="s">
        <v>13</v>
      </c>
      <c r="C541" t="s">
        <v>20</v>
      </c>
      <c r="D541" t="s">
        <v>21</v>
      </c>
      <c r="E541">
        <v>19</v>
      </c>
      <c r="F541">
        <v>5</v>
      </c>
      <c r="G541" t="s">
        <v>16</v>
      </c>
      <c r="H541" t="s">
        <v>31</v>
      </c>
      <c r="I541">
        <v>69000</v>
      </c>
      <c r="K541">
        <v>28</v>
      </c>
      <c r="L541" t="s">
        <v>18</v>
      </c>
      <c r="M541" t="s">
        <v>23</v>
      </c>
    </row>
    <row r="542" spans="1:13" x14ac:dyDescent="0.3">
      <c r="A542">
        <v>35</v>
      </c>
      <c r="B542" t="s">
        <v>13</v>
      </c>
      <c r="C542" t="s">
        <v>20</v>
      </c>
      <c r="D542" t="s">
        <v>151</v>
      </c>
      <c r="E542">
        <v>10</v>
      </c>
      <c r="F542">
        <v>4</v>
      </c>
      <c r="G542" t="s">
        <v>16</v>
      </c>
      <c r="H542" t="s">
        <v>31</v>
      </c>
      <c r="I542">
        <v>63500</v>
      </c>
      <c r="J542">
        <v>63500</v>
      </c>
      <c r="K542">
        <v>28</v>
      </c>
      <c r="L542" t="s">
        <v>18</v>
      </c>
      <c r="M542" t="s">
        <v>23</v>
      </c>
    </row>
    <row r="543" spans="1:13" x14ac:dyDescent="0.3">
      <c r="A543">
        <v>36</v>
      </c>
      <c r="B543" t="s">
        <v>13</v>
      </c>
      <c r="C543" t="s">
        <v>20</v>
      </c>
      <c r="D543" t="s">
        <v>27</v>
      </c>
      <c r="E543">
        <v>17</v>
      </c>
      <c r="F543">
        <v>4</v>
      </c>
      <c r="G543" t="s">
        <v>62</v>
      </c>
      <c r="H543" t="s">
        <v>50</v>
      </c>
      <c r="I543">
        <v>124000</v>
      </c>
      <c r="J543">
        <v>107000</v>
      </c>
      <c r="K543">
        <v>28</v>
      </c>
      <c r="L543" t="s">
        <v>18</v>
      </c>
      <c r="M543" t="s">
        <v>23</v>
      </c>
    </row>
    <row r="544" spans="1:13" x14ac:dyDescent="0.3">
      <c r="A544">
        <v>29</v>
      </c>
      <c r="B544" t="s">
        <v>13</v>
      </c>
      <c r="C544" t="s">
        <v>14</v>
      </c>
      <c r="D544" t="s">
        <v>262</v>
      </c>
      <c r="E544">
        <v>6</v>
      </c>
      <c r="F544">
        <v>4</v>
      </c>
      <c r="G544" t="s">
        <v>28</v>
      </c>
      <c r="H544" t="s">
        <v>50</v>
      </c>
      <c r="I544">
        <v>68000</v>
      </c>
      <c r="J544">
        <v>4500</v>
      </c>
      <c r="K544">
        <v>28</v>
      </c>
      <c r="L544" t="s">
        <v>18</v>
      </c>
      <c r="M544" t="s">
        <v>23</v>
      </c>
    </row>
    <row r="545" spans="1:13" x14ac:dyDescent="0.3">
      <c r="A545">
        <v>35</v>
      </c>
      <c r="B545" t="s">
        <v>13</v>
      </c>
      <c r="C545" t="s">
        <v>192</v>
      </c>
      <c r="D545" t="s">
        <v>21</v>
      </c>
      <c r="E545">
        <v>11</v>
      </c>
      <c r="F545">
        <v>2.5</v>
      </c>
      <c r="G545" t="s">
        <v>16</v>
      </c>
      <c r="H545" t="s">
        <v>50</v>
      </c>
      <c r="I545">
        <v>66000</v>
      </c>
      <c r="J545">
        <v>2000</v>
      </c>
      <c r="K545">
        <v>28</v>
      </c>
      <c r="L545" t="s">
        <v>18</v>
      </c>
      <c r="M545" t="s">
        <v>23</v>
      </c>
    </row>
    <row r="546" spans="1:13" x14ac:dyDescent="0.3">
      <c r="A546">
        <v>35</v>
      </c>
      <c r="B546" t="s">
        <v>13</v>
      </c>
      <c r="C546" t="s">
        <v>20</v>
      </c>
      <c r="D546" t="s">
        <v>231</v>
      </c>
      <c r="E546">
        <v>9</v>
      </c>
      <c r="F546">
        <v>9</v>
      </c>
      <c r="G546" t="s">
        <v>16</v>
      </c>
      <c r="H546" t="s">
        <v>50</v>
      </c>
      <c r="I546">
        <v>77000</v>
      </c>
      <c r="J546">
        <v>0</v>
      </c>
      <c r="K546">
        <v>28</v>
      </c>
      <c r="L546" t="s">
        <v>36</v>
      </c>
      <c r="M546" t="s">
        <v>23</v>
      </c>
    </row>
    <row r="547" spans="1:13" x14ac:dyDescent="0.3">
      <c r="A547">
        <v>34</v>
      </c>
      <c r="B547" t="s">
        <v>13</v>
      </c>
      <c r="C547" t="s">
        <v>14</v>
      </c>
      <c r="D547" t="s">
        <v>53</v>
      </c>
      <c r="E547">
        <v>10</v>
      </c>
      <c r="F547">
        <v>10</v>
      </c>
      <c r="G547" t="s">
        <v>16</v>
      </c>
      <c r="H547" t="s">
        <v>50</v>
      </c>
      <c r="I547">
        <v>85000</v>
      </c>
      <c r="J547">
        <v>20000</v>
      </c>
      <c r="K547">
        <v>28</v>
      </c>
      <c r="L547" t="s">
        <v>18</v>
      </c>
      <c r="M547" t="s">
        <v>23</v>
      </c>
    </row>
    <row r="548" spans="1:13" x14ac:dyDescent="0.3">
      <c r="A548">
        <v>40</v>
      </c>
      <c r="B548" t="s">
        <v>13</v>
      </c>
      <c r="C548" t="s">
        <v>20</v>
      </c>
      <c r="D548" t="s">
        <v>52</v>
      </c>
      <c r="E548">
        <v>11</v>
      </c>
      <c r="F548">
        <v>11</v>
      </c>
      <c r="G548" t="s">
        <v>16</v>
      </c>
      <c r="H548" t="s">
        <v>50</v>
      </c>
      <c r="I548">
        <v>60000</v>
      </c>
      <c r="J548">
        <v>1000</v>
      </c>
      <c r="K548">
        <v>28</v>
      </c>
      <c r="L548" t="s">
        <v>36</v>
      </c>
      <c r="M548" t="s">
        <v>23</v>
      </c>
    </row>
    <row r="549" spans="1:13" x14ac:dyDescent="0.3">
      <c r="A549">
        <v>37</v>
      </c>
      <c r="B549" t="s">
        <v>13</v>
      </c>
      <c r="C549" t="s">
        <v>179</v>
      </c>
      <c r="D549" t="s">
        <v>52</v>
      </c>
      <c r="E549">
        <v>15</v>
      </c>
      <c r="F549">
        <v>1</v>
      </c>
      <c r="G549" t="s">
        <v>16</v>
      </c>
      <c r="H549" t="s">
        <v>50</v>
      </c>
      <c r="I549">
        <v>70000</v>
      </c>
      <c r="J549">
        <v>7000</v>
      </c>
      <c r="K549">
        <v>28</v>
      </c>
      <c r="L549" t="s">
        <v>18</v>
      </c>
      <c r="M549" t="s">
        <v>23</v>
      </c>
    </row>
    <row r="550" spans="1:13" x14ac:dyDescent="0.3">
      <c r="A550">
        <v>37</v>
      </c>
      <c r="B550" t="s">
        <v>13</v>
      </c>
      <c r="C550" t="s">
        <v>20</v>
      </c>
      <c r="D550" t="s">
        <v>15</v>
      </c>
      <c r="E550">
        <v>11</v>
      </c>
      <c r="F550">
        <v>5</v>
      </c>
      <c r="G550" t="s">
        <v>16</v>
      </c>
      <c r="H550" t="s">
        <v>50</v>
      </c>
      <c r="I550">
        <v>73000</v>
      </c>
      <c r="J550">
        <v>30000</v>
      </c>
      <c r="K550">
        <v>28</v>
      </c>
      <c r="L550" t="s">
        <v>18</v>
      </c>
      <c r="M550" t="s">
        <v>23</v>
      </c>
    </row>
    <row r="551" spans="1:13" x14ac:dyDescent="0.3">
      <c r="A551">
        <v>28</v>
      </c>
      <c r="B551" t="s">
        <v>13</v>
      </c>
      <c r="C551" t="s">
        <v>20</v>
      </c>
      <c r="D551" t="s">
        <v>53</v>
      </c>
      <c r="E551">
        <v>4</v>
      </c>
      <c r="F551">
        <v>4</v>
      </c>
      <c r="G551" t="s">
        <v>28</v>
      </c>
      <c r="H551" t="s">
        <v>50</v>
      </c>
      <c r="I551">
        <v>70000</v>
      </c>
      <c r="J551">
        <v>5500</v>
      </c>
      <c r="K551">
        <v>28</v>
      </c>
      <c r="L551" t="s">
        <v>18</v>
      </c>
      <c r="M551" t="s">
        <v>23</v>
      </c>
    </row>
    <row r="552" spans="1:13" x14ac:dyDescent="0.3">
      <c r="A552">
        <v>32</v>
      </c>
      <c r="B552" t="s">
        <v>33</v>
      </c>
      <c r="C552" t="s">
        <v>20</v>
      </c>
      <c r="D552" t="s">
        <v>355</v>
      </c>
      <c r="E552">
        <v>10</v>
      </c>
      <c r="F552">
        <v>6</v>
      </c>
      <c r="G552" t="s">
        <v>24</v>
      </c>
      <c r="H552" t="s">
        <v>162</v>
      </c>
      <c r="I552">
        <v>65000</v>
      </c>
      <c r="J552">
        <v>3250</v>
      </c>
      <c r="K552">
        <v>28</v>
      </c>
      <c r="L552" t="s">
        <v>18</v>
      </c>
      <c r="M552" t="s">
        <v>23</v>
      </c>
    </row>
    <row r="553" spans="1:13" x14ac:dyDescent="0.3">
      <c r="A553">
        <v>32</v>
      </c>
      <c r="B553" t="s">
        <v>13</v>
      </c>
      <c r="C553" t="s">
        <v>14</v>
      </c>
      <c r="D553" t="s">
        <v>52</v>
      </c>
      <c r="E553">
        <v>9</v>
      </c>
      <c r="F553">
        <v>3</v>
      </c>
      <c r="G553" t="s">
        <v>16</v>
      </c>
      <c r="H553" t="s">
        <v>162</v>
      </c>
      <c r="I553">
        <v>76000</v>
      </c>
      <c r="J553">
        <v>0</v>
      </c>
      <c r="K553">
        <v>28</v>
      </c>
      <c r="L553" t="s">
        <v>18</v>
      </c>
      <c r="M553" t="s">
        <v>23</v>
      </c>
    </row>
    <row r="554" spans="1:13" x14ac:dyDescent="0.3">
      <c r="A554">
        <v>26</v>
      </c>
      <c r="B554" t="s">
        <v>13</v>
      </c>
      <c r="C554" t="s">
        <v>20</v>
      </c>
      <c r="D554" t="s">
        <v>21</v>
      </c>
      <c r="E554">
        <v>7</v>
      </c>
      <c r="F554">
        <v>4</v>
      </c>
      <c r="G554" t="s">
        <v>16</v>
      </c>
      <c r="H554" t="s">
        <v>22</v>
      </c>
      <c r="I554">
        <v>80000</v>
      </c>
      <c r="K554">
        <v>28</v>
      </c>
      <c r="L554" t="s">
        <v>18</v>
      </c>
      <c r="M554" t="s">
        <v>23</v>
      </c>
    </row>
    <row r="555" spans="1:13" x14ac:dyDescent="0.3">
      <c r="A555">
        <v>26</v>
      </c>
      <c r="B555" t="s">
        <v>13</v>
      </c>
      <c r="C555" t="s">
        <v>20</v>
      </c>
      <c r="D555" t="s">
        <v>15</v>
      </c>
      <c r="E555">
        <v>5</v>
      </c>
      <c r="F555">
        <v>2</v>
      </c>
      <c r="G555" t="s">
        <v>28</v>
      </c>
      <c r="H555" t="s">
        <v>71</v>
      </c>
      <c r="I555">
        <v>63000</v>
      </c>
      <c r="J555">
        <v>10300</v>
      </c>
      <c r="K555">
        <v>28</v>
      </c>
      <c r="L555" t="s">
        <v>18</v>
      </c>
      <c r="M555" t="s">
        <v>23</v>
      </c>
    </row>
    <row r="556" spans="1:13" x14ac:dyDescent="0.3">
      <c r="A556">
        <v>30</v>
      </c>
      <c r="B556" t="s">
        <v>13</v>
      </c>
      <c r="C556" t="s">
        <v>20</v>
      </c>
      <c r="D556" t="s">
        <v>15</v>
      </c>
      <c r="E556">
        <v>10</v>
      </c>
      <c r="F556">
        <v>2</v>
      </c>
      <c r="G556" t="s">
        <v>16</v>
      </c>
      <c r="H556" t="s">
        <v>71</v>
      </c>
      <c r="I556">
        <v>72000</v>
      </c>
      <c r="K556">
        <v>28</v>
      </c>
      <c r="L556" t="s">
        <v>18</v>
      </c>
      <c r="M556" t="s">
        <v>23</v>
      </c>
    </row>
    <row r="557" spans="1:13" x14ac:dyDescent="0.3">
      <c r="A557">
        <v>25</v>
      </c>
      <c r="B557" t="s">
        <v>33</v>
      </c>
      <c r="C557" t="s">
        <v>20</v>
      </c>
      <c r="D557" t="s">
        <v>15</v>
      </c>
      <c r="E557">
        <v>4</v>
      </c>
      <c r="F557">
        <v>1</v>
      </c>
      <c r="G557" t="s">
        <v>28</v>
      </c>
      <c r="H557" t="s">
        <v>71</v>
      </c>
      <c r="I557">
        <v>65000</v>
      </c>
      <c r="K557">
        <v>28</v>
      </c>
      <c r="L557" t="s">
        <v>18</v>
      </c>
      <c r="M557" t="s">
        <v>23</v>
      </c>
    </row>
    <row r="558" spans="1:13" x14ac:dyDescent="0.3">
      <c r="A558">
        <v>39</v>
      </c>
      <c r="B558" t="s">
        <v>13</v>
      </c>
      <c r="C558" t="s">
        <v>20</v>
      </c>
      <c r="D558" t="s">
        <v>53</v>
      </c>
      <c r="E558">
        <v>7</v>
      </c>
      <c r="F558">
        <v>4</v>
      </c>
      <c r="G558" t="s">
        <v>16</v>
      </c>
      <c r="H558" t="s">
        <v>528</v>
      </c>
      <c r="I558">
        <v>70000</v>
      </c>
      <c r="J558">
        <v>70000</v>
      </c>
      <c r="K558">
        <v>28</v>
      </c>
      <c r="L558" t="s">
        <v>18</v>
      </c>
      <c r="M558" t="s">
        <v>23</v>
      </c>
    </row>
    <row r="559" spans="1:13" x14ac:dyDescent="0.3">
      <c r="A559">
        <v>40</v>
      </c>
      <c r="B559" t="s">
        <v>13</v>
      </c>
      <c r="C559" t="s">
        <v>20</v>
      </c>
      <c r="D559" t="s">
        <v>41</v>
      </c>
      <c r="E559">
        <v>13</v>
      </c>
      <c r="F559">
        <v>1</v>
      </c>
      <c r="G559" t="s">
        <v>16</v>
      </c>
      <c r="H559" t="s">
        <v>42</v>
      </c>
      <c r="I559">
        <v>70000</v>
      </c>
      <c r="K559">
        <v>28</v>
      </c>
      <c r="L559" t="s">
        <v>18</v>
      </c>
      <c r="M559" t="s">
        <v>23</v>
      </c>
    </row>
    <row r="560" spans="1:13" x14ac:dyDescent="0.3">
      <c r="A560">
        <v>32</v>
      </c>
      <c r="B560" t="s">
        <v>33</v>
      </c>
      <c r="C560" t="s">
        <v>20</v>
      </c>
      <c r="D560" t="s">
        <v>316</v>
      </c>
      <c r="E560">
        <v>1</v>
      </c>
      <c r="F560">
        <v>1</v>
      </c>
      <c r="G560" t="s">
        <v>26</v>
      </c>
      <c r="H560" t="s">
        <v>42</v>
      </c>
      <c r="I560">
        <v>48000</v>
      </c>
      <c r="J560">
        <v>0</v>
      </c>
      <c r="K560">
        <v>28</v>
      </c>
      <c r="L560" t="s">
        <v>18</v>
      </c>
      <c r="M560" t="s">
        <v>23</v>
      </c>
    </row>
    <row r="561" spans="1:13" x14ac:dyDescent="0.3">
      <c r="A561">
        <v>45</v>
      </c>
      <c r="B561" t="s">
        <v>13</v>
      </c>
      <c r="C561" t="s">
        <v>20</v>
      </c>
      <c r="D561" t="s">
        <v>43</v>
      </c>
      <c r="E561">
        <v>10</v>
      </c>
      <c r="F561">
        <v>4</v>
      </c>
      <c r="G561" t="s">
        <v>24</v>
      </c>
      <c r="H561" t="s">
        <v>80</v>
      </c>
      <c r="I561">
        <v>77000</v>
      </c>
      <c r="J561">
        <v>2000</v>
      </c>
      <c r="K561">
        <v>28</v>
      </c>
      <c r="L561" t="s">
        <v>18</v>
      </c>
      <c r="M561" t="s">
        <v>23</v>
      </c>
    </row>
    <row r="562" spans="1:13" x14ac:dyDescent="0.3">
      <c r="A562">
        <v>33</v>
      </c>
      <c r="B562" t="s">
        <v>13</v>
      </c>
      <c r="C562" t="s">
        <v>20</v>
      </c>
      <c r="D562" t="s">
        <v>43</v>
      </c>
      <c r="E562">
        <v>6</v>
      </c>
      <c r="F562">
        <v>4</v>
      </c>
      <c r="G562" t="s">
        <v>28</v>
      </c>
      <c r="H562" t="s">
        <v>80</v>
      </c>
      <c r="I562">
        <v>63000</v>
      </c>
      <c r="J562">
        <v>6300</v>
      </c>
      <c r="K562">
        <v>28</v>
      </c>
      <c r="L562" t="s">
        <v>18</v>
      </c>
      <c r="M562" t="s">
        <v>23</v>
      </c>
    </row>
    <row r="563" spans="1:13" x14ac:dyDescent="0.3">
      <c r="A563">
        <v>31</v>
      </c>
      <c r="B563" t="s">
        <v>13</v>
      </c>
      <c r="C563" t="s">
        <v>20</v>
      </c>
      <c r="D563" t="s">
        <v>27</v>
      </c>
      <c r="E563">
        <v>11</v>
      </c>
      <c r="F563">
        <v>4</v>
      </c>
      <c r="G563" t="s">
        <v>16</v>
      </c>
      <c r="H563" t="s">
        <v>202</v>
      </c>
      <c r="I563">
        <v>81000</v>
      </c>
      <c r="J563">
        <v>0</v>
      </c>
      <c r="K563">
        <v>28</v>
      </c>
      <c r="L563" t="s">
        <v>18</v>
      </c>
      <c r="M563" t="s">
        <v>23</v>
      </c>
    </row>
    <row r="564" spans="1:13" x14ac:dyDescent="0.3">
      <c r="A564">
        <v>35</v>
      </c>
      <c r="B564" t="s">
        <v>13</v>
      </c>
      <c r="C564" t="s">
        <v>20</v>
      </c>
      <c r="D564" t="s">
        <v>173</v>
      </c>
      <c r="E564">
        <v>10</v>
      </c>
      <c r="F564">
        <v>3</v>
      </c>
      <c r="G564" t="s">
        <v>16</v>
      </c>
      <c r="H564" t="s">
        <v>243</v>
      </c>
      <c r="I564">
        <v>75000</v>
      </c>
      <c r="J564">
        <v>10000</v>
      </c>
      <c r="K564">
        <v>28</v>
      </c>
      <c r="L564" t="s">
        <v>18</v>
      </c>
      <c r="M564" t="s">
        <v>23</v>
      </c>
    </row>
    <row r="565" spans="1:13" x14ac:dyDescent="0.3">
      <c r="A565">
        <v>29</v>
      </c>
      <c r="B565" t="s">
        <v>33</v>
      </c>
      <c r="C565" t="s">
        <v>20</v>
      </c>
      <c r="D565" t="s">
        <v>95</v>
      </c>
      <c r="E565">
        <v>6</v>
      </c>
      <c r="F565">
        <v>0.5</v>
      </c>
      <c r="G565" t="s">
        <v>28</v>
      </c>
      <c r="H565" t="s">
        <v>395</v>
      </c>
      <c r="I565">
        <v>51000</v>
      </c>
      <c r="K565">
        <v>28</v>
      </c>
      <c r="L565" t="s">
        <v>18</v>
      </c>
      <c r="M565" t="s">
        <v>23</v>
      </c>
    </row>
    <row r="566" spans="1:13" x14ac:dyDescent="0.3">
      <c r="A566">
        <v>28</v>
      </c>
      <c r="B566" t="s">
        <v>13</v>
      </c>
      <c r="C566" t="s">
        <v>20</v>
      </c>
      <c r="D566" t="s">
        <v>41</v>
      </c>
      <c r="E566">
        <v>7</v>
      </c>
      <c r="F566">
        <v>0</v>
      </c>
      <c r="G566" t="s">
        <v>62</v>
      </c>
      <c r="I566">
        <v>60000</v>
      </c>
      <c r="J566">
        <v>9000</v>
      </c>
      <c r="K566">
        <v>28</v>
      </c>
      <c r="L566" t="s">
        <v>18</v>
      </c>
      <c r="M566" t="s">
        <v>23</v>
      </c>
    </row>
    <row r="567" spans="1:13" x14ac:dyDescent="0.3">
      <c r="A567">
        <v>31</v>
      </c>
      <c r="B567" t="s">
        <v>33</v>
      </c>
      <c r="C567" t="s">
        <v>20</v>
      </c>
      <c r="D567" t="s">
        <v>41</v>
      </c>
      <c r="E567">
        <v>4</v>
      </c>
      <c r="G567" t="s">
        <v>28</v>
      </c>
      <c r="I567">
        <v>60000</v>
      </c>
      <c r="J567">
        <v>0</v>
      </c>
      <c r="K567">
        <v>28</v>
      </c>
      <c r="L567" t="s">
        <v>18</v>
      </c>
      <c r="M567" t="s">
        <v>23</v>
      </c>
    </row>
    <row r="568" spans="1:13" x14ac:dyDescent="0.3">
      <c r="A568">
        <v>34</v>
      </c>
      <c r="B568" t="s">
        <v>13</v>
      </c>
      <c r="C568" t="s">
        <v>14</v>
      </c>
      <c r="D568" t="s">
        <v>41</v>
      </c>
      <c r="E568">
        <v>7</v>
      </c>
      <c r="F568">
        <v>1.7</v>
      </c>
      <c r="G568" t="s">
        <v>28</v>
      </c>
      <c r="I568">
        <v>72000</v>
      </c>
      <c r="K568">
        <v>28</v>
      </c>
      <c r="L568" t="s">
        <v>18</v>
      </c>
      <c r="M568" t="s">
        <v>23</v>
      </c>
    </row>
    <row r="569" spans="1:13" x14ac:dyDescent="0.3">
      <c r="A569">
        <v>27</v>
      </c>
      <c r="B569" t="s">
        <v>33</v>
      </c>
      <c r="C569" t="s">
        <v>34</v>
      </c>
      <c r="D569" t="s">
        <v>77</v>
      </c>
      <c r="E569">
        <v>6</v>
      </c>
      <c r="F569">
        <v>1</v>
      </c>
      <c r="G569" t="s">
        <v>16</v>
      </c>
      <c r="I569">
        <v>50000</v>
      </c>
      <c r="K569">
        <v>28</v>
      </c>
      <c r="L569" t="s">
        <v>18</v>
      </c>
      <c r="M569" t="s">
        <v>23</v>
      </c>
    </row>
    <row r="570" spans="1:13" x14ac:dyDescent="0.3">
      <c r="A570">
        <v>35</v>
      </c>
      <c r="B570" t="s">
        <v>33</v>
      </c>
      <c r="C570" t="s">
        <v>20</v>
      </c>
      <c r="D570" t="s">
        <v>41</v>
      </c>
      <c r="E570">
        <v>5</v>
      </c>
      <c r="F570">
        <v>2</v>
      </c>
      <c r="G570" t="s">
        <v>16</v>
      </c>
      <c r="I570">
        <v>60000</v>
      </c>
      <c r="K570">
        <v>28</v>
      </c>
      <c r="L570" t="s">
        <v>18</v>
      </c>
      <c r="M570" t="s">
        <v>23</v>
      </c>
    </row>
    <row r="571" spans="1:13" x14ac:dyDescent="0.3">
      <c r="A571">
        <v>29</v>
      </c>
      <c r="B571" t="s">
        <v>13</v>
      </c>
      <c r="C571" t="s">
        <v>20</v>
      </c>
      <c r="D571" t="s">
        <v>52</v>
      </c>
      <c r="E571">
        <v>9</v>
      </c>
      <c r="F571">
        <v>2</v>
      </c>
      <c r="G571" t="s">
        <v>16</v>
      </c>
      <c r="I571">
        <v>62000</v>
      </c>
      <c r="J571">
        <v>8000</v>
      </c>
      <c r="K571">
        <v>28</v>
      </c>
      <c r="L571" t="s">
        <v>18</v>
      </c>
      <c r="M571" t="s">
        <v>23</v>
      </c>
    </row>
    <row r="572" spans="1:13" x14ac:dyDescent="0.3">
      <c r="A572">
        <v>34</v>
      </c>
      <c r="B572" t="s">
        <v>13</v>
      </c>
      <c r="C572" t="s">
        <v>20</v>
      </c>
      <c r="D572" t="s">
        <v>43</v>
      </c>
      <c r="E572">
        <v>10</v>
      </c>
      <c r="F572">
        <v>0.5</v>
      </c>
      <c r="G572" t="s">
        <v>16</v>
      </c>
      <c r="H572" t="s">
        <v>79</v>
      </c>
      <c r="I572">
        <v>70000</v>
      </c>
      <c r="K572">
        <v>28</v>
      </c>
      <c r="L572" t="s">
        <v>18</v>
      </c>
      <c r="M572" t="s">
        <v>19</v>
      </c>
    </row>
    <row r="573" spans="1:13" x14ac:dyDescent="0.3">
      <c r="A573">
        <v>27</v>
      </c>
      <c r="B573" t="s">
        <v>13</v>
      </c>
      <c r="C573" t="s">
        <v>20</v>
      </c>
      <c r="D573" t="s">
        <v>25</v>
      </c>
      <c r="E573">
        <v>8</v>
      </c>
      <c r="F573">
        <v>1</v>
      </c>
      <c r="G573" t="s">
        <v>28</v>
      </c>
      <c r="H573" t="s">
        <v>141</v>
      </c>
      <c r="I573">
        <v>45000</v>
      </c>
      <c r="K573">
        <v>28</v>
      </c>
      <c r="L573" t="s">
        <v>18</v>
      </c>
      <c r="M573" t="s">
        <v>19</v>
      </c>
    </row>
    <row r="574" spans="1:13" x14ac:dyDescent="0.3">
      <c r="A574">
        <v>32</v>
      </c>
      <c r="B574" t="s">
        <v>13</v>
      </c>
      <c r="C574" t="s">
        <v>295</v>
      </c>
      <c r="D574" t="s">
        <v>15</v>
      </c>
      <c r="E574">
        <v>13</v>
      </c>
      <c r="F574">
        <v>1</v>
      </c>
      <c r="G574" t="s">
        <v>26</v>
      </c>
      <c r="H574" t="s">
        <v>111</v>
      </c>
      <c r="I574">
        <v>48000</v>
      </c>
      <c r="K574">
        <v>28</v>
      </c>
      <c r="L574" t="s">
        <v>18</v>
      </c>
      <c r="M574" t="s">
        <v>19</v>
      </c>
    </row>
    <row r="575" spans="1:13" x14ac:dyDescent="0.3">
      <c r="A575">
        <v>25</v>
      </c>
      <c r="B575" t="s">
        <v>13</v>
      </c>
      <c r="C575" t="s">
        <v>34</v>
      </c>
      <c r="D575" t="s">
        <v>15</v>
      </c>
      <c r="E575">
        <v>1</v>
      </c>
      <c r="F575">
        <v>1</v>
      </c>
      <c r="G575" t="s">
        <v>26</v>
      </c>
      <c r="H575" t="s">
        <v>64</v>
      </c>
      <c r="I575">
        <v>43500</v>
      </c>
      <c r="K575">
        <v>28</v>
      </c>
      <c r="L575" t="s">
        <v>36</v>
      </c>
      <c r="M575" t="s">
        <v>19</v>
      </c>
    </row>
    <row r="576" spans="1:13" x14ac:dyDescent="0.3">
      <c r="A576">
        <v>33</v>
      </c>
      <c r="B576" t="s">
        <v>13</v>
      </c>
      <c r="C576" t="s">
        <v>144</v>
      </c>
      <c r="D576" t="s">
        <v>15</v>
      </c>
      <c r="E576">
        <v>6</v>
      </c>
      <c r="F576">
        <v>2</v>
      </c>
      <c r="G576" t="s">
        <v>28</v>
      </c>
      <c r="H576" t="s">
        <v>64</v>
      </c>
      <c r="I576">
        <v>49000</v>
      </c>
      <c r="K576">
        <v>28</v>
      </c>
      <c r="L576" t="s">
        <v>18</v>
      </c>
      <c r="M576" t="s">
        <v>19</v>
      </c>
    </row>
    <row r="577" spans="1:13" x14ac:dyDescent="0.3">
      <c r="A577">
        <v>27</v>
      </c>
      <c r="B577" t="s">
        <v>13</v>
      </c>
      <c r="C577" t="s">
        <v>14</v>
      </c>
      <c r="D577" t="s">
        <v>25</v>
      </c>
      <c r="E577">
        <v>4</v>
      </c>
      <c r="F577">
        <v>0</v>
      </c>
      <c r="G577" t="s">
        <v>16</v>
      </c>
      <c r="H577" t="s">
        <v>96</v>
      </c>
      <c r="I577">
        <v>60000</v>
      </c>
      <c r="K577">
        <v>28</v>
      </c>
      <c r="L577" t="s">
        <v>18</v>
      </c>
      <c r="M577" t="s">
        <v>19</v>
      </c>
    </row>
    <row r="578" spans="1:13" x14ac:dyDescent="0.3">
      <c r="A578">
        <v>35</v>
      </c>
      <c r="B578" t="s">
        <v>13</v>
      </c>
      <c r="C578" t="s">
        <v>20</v>
      </c>
      <c r="D578" t="s">
        <v>15</v>
      </c>
      <c r="E578">
        <v>15</v>
      </c>
      <c r="F578">
        <v>4</v>
      </c>
      <c r="G578" t="s">
        <v>16</v>
      </c>
      <c r="H578" t="s">
        <v>51</v>
      </c>
      <c r="I578">
        <v>70000</v>
      </c>
      <c r="K578">
        <v>28</v>
      </c>
      <c r="L578" t="s">
        <v>18</v>
      </c>
      <c r="M578" t="s">
        <v>19</v>
      </c>
    </row>
    <row r="579" spans="1:13" x14ac:dyDescent="0.3">
      <c r="A579">
        <v>37</v>
      </c>
      <c r="B579" t="s">
        <v>13</v>
      </c>
      <c r="C579" t="s">
        <v>20</v>
      </c>
      <c r="D579" t="s">
        <v>15</v>
      </c>
      <c r="E579">
        <v>8</v>
      </c>
      <c r="F579">
        <v>5</v>
      </c>
      <c r="G579" t="s">
        <v>26</v>
      </c>
      <c r="H579" t="s">
        <v>32</v>
      </c>
      <c r="I579">
        <v>60000</v>
      </c>
      <c r="K579">
        <v>28</v>
      </c>
      <c r="L579" t="s">
        <v>18</v>
      </c>
      <c r="M579" t="s">
        <v>19</v>
      </c>
    </row>
    <row r="580" spans="1:13" x14ac:dyDescent="0.3">
      <c r="A580">
        <v>35</v>
      </c>
      <c r="B580" t="s">
        <v>13</v>
      </c>
      <c r="C580" t="s">
        <v>379</v>
      </c>
      <c r="D580" t="s">
        <v>21</v>
      </c>
      <c r="E580">
        <v>4</v>
      </c>
      <c r="F580">
        <v>2.5</v>
      </c>
      <c r="G580" t="s">
        <v>28</v>
      </c>
      <c r="H580" t="s">
        <v>32</v>
      </c>
      <c r="I580">
        <v>42000</v>
      </c>
      <c r="K580">
        <v>28</v>
      </c>
      <c r="L580" t="s">
        <v>18</v>
      </c>
      <c r="M580" t="s">
        <v>19</v>
      </c>
    </row>
    <row r="581" spans="1:13" x14ac:dyDescent="0.3">
      <c r="A581">
        <v>42</v>
      </c>
      <c r="B581" t="s">
        <v>33</v>
      </c>
      <c r="C581" t="s">
        <v>14</v>
      </c>
      <c r="D581" t="s">
        <v>213</v>
      </c>
      <c r="E581">
        <v>12</v>
      </c>
      <c r="F581">
        <v>12</v>
      </c>
      <c r="G581" t="s">
        <v>214</v>
      </c>
      <c r="H581" t="s">
        <v>32</v>
      </c>
      <c r="I581">
        <v>47500</v>
      </c>
      <c r="J581">
        <v>47500</v>
      </c>
      <c r="K581">
        <v>28</v>
      </c>
      <c r="L581" t="s">
        <v>36</v>
      </c>
      <c r="M581" t="s">
        <v>19</v>
      </c>
    </row>
    <row r="582" spans="1:13" x14ac:dyDescent="0.3">
      <c r="A582">
        <v>31</v>
      </c>
      <c r="B582" t="s">
        <v>13</v>
      </c>
      <c r="C582" t="s">
        <v>20</v>
      </c>
      <c r="D582" t="s">
        <v>25</v>
      </c>
      <c r="E582">
        <v>10</v>
      </c>
      <c r="F582">
        <v>1.5</v>
      </c>
      <c r="G582" t="s">
        <v>16</v>
      </c>
      <c r="H582" t="s">
        <v>55</v>
      </c>
      <c r="I582">
        <v>71060</v>
      </c>
      <c r="J582">
        <v>101</v>
      </c>
      <c r="K582">
        <v>28</v>
      </c>
      <c r="L582" t="s">
        <v>18</v>
      </c>
      <c r="M582" t="s">
        <v>19</v>
      </c>
    </row>
    <row r="583" spans="1:13" x14ac:dyDescent="0.3">
      <c r="A583">
        <v>30</v>
      </c>
      <c r="B583" t="s">
        <v>13</v>
      </c>
      <c r="C583" t="s">
        <v>14</v>
      </c>
      <c r="D583" t="s">
        <v>25</v>
      </c>
      <c r="E583">
        <v>6</v>
      </c>
      <c r="F583">
        <v>1</v>
      </c>
      <c r="G583" t="s">
        <v>16</v>
      </c>
      <c r="H583" t="s">
        <v>55</v>
      </c>
      <c r="I583">
        <v>75000</v>
      </c>
      <c r="J583">
        <v>101</v>
      </c>
      <c r="K583">
        <v>28</v>
      </c>
      <c r="L583" t="s">
        <v>18</v>
      </c>
      <c r="M583" t="s">
        <v>19</v>
      </c>
    </row>
    <row r="584" spans="1:13" x14ac:dyDescent="0.3">
      <c r="A584">
        <v>38</v>
      </c>
      <c r="B584" t="s">
        <v>13</v>
      </c>
      <c r="C584" t="s">
        <v>20</v>
      </c>
      <c r="D584" t="s">
        <v>385</v>
      </c>
      <c r="E584">
        <v>1</v>
      </c>
      <c r="F584">
        <v>1</v>
      </c>
      <c r="G584" t="s">
        <v>26</v>
      </c>
      <c r="H584" t="s">
        <v>55</v>
      </c>
      <c r="I584">
        <v>45500</v>
      </c>
      <c r="J584">
        <v>45500</v>
      </c>
      <c r="K584">
        <v>28</v>
      </c>
      <c r="L584" t="s">
        <v>18</v>
      </c>
      <c r="M584" t="s">
        <v>19</v>
      </c>
    </row>
    <row r="585" spans="1:13" x14ac:dyDescent="0.3">
      <c r="A585">
        <v>31</v>
      </c>
      <c r="B585" t="s">
        <v>13</v>
      </c>
      <c r="C585" t="s">
        <v>20</v>
      </c>
      <c r="D585" t="s">
        <v>41</v>
      </c>
      <c r="E585">
        <v>5</v>
      </c>
      <c r="F585">
        <v>3</v>
      </c>
      <c r="G585" t="s">
        <v>24</v>
      </c>
      <c r="I585">
        <v>76000</v>
      </c>
      <c r="J585">
        <v>20000</v>
      </c>
      <c r="K585">
        <v>28</v>
      </c>
      <c r="L585" t="s">
        <v>18</v>
      </c>
      <c r="M585" t="s">
        <v>19</v>
      </c>
    </row>
    <row r="586" spans="1:13" x14ac:dyDescent="0.3">
      <c r="A586">
        <v>35</v>
      </c>
      <c r="B586" t="s">
        <v>13</v>
      </c>
      <c r="C586" t="s">
        <v>14</v>
      </c>
      <c r="D586" t="s">
        <v>15</v>
      </c>
      <c r="E586">
        <v>13</v>
      </c>
      <c r="F586">
        <v>4</v>
      </c>
      <c r="G586" t="s">
        <v>24</v>
      </c>
      <c r="H586" t="s">
        <v>112</v>
      </c>
      <c r="I586">
        <v>140000</v>
      </c>
      <c r="J586">
        <v>6000</v>
      </c>
      <c r="K586">
        <v>28</v>
      </c>
      <c r="L586" t="s">
        <v>18</v>
      </c>
      <c r="M586" t="s">
        <v>19</v>
      </c>
    </row>
    <row r="587" spans="1:13" x14ac:dyDescent="0.3">
      <c r="A587">
        <v>41</v>
      </c>
      <c r="B587" t="s">
        <v>13</v>
      </c>
      <c r="C587" t="s">
        <v>20</v>
      </c>
      <c r="D587" t="s">
        <v>15</v>
      </c>
      <c r="E587">
        <v>18</v>
      </c>
      <c r="F587">
        <v>7</v>
      </c>
      <c r="G587" t="s">
        <v>24</v>
      </c>
      <c r="H587" t="s">
        <v>31</v>
      </c>
      <c r="I587">
        <v>100000</v>
      </c>
      <c r="J587">
        <v>100000</v>
      </c>
      <c r="K587">
        <v>28</v>
      </c>
      <c r="L587" t="s">
        <v>18</v>
      </c>
      <c r="M587" t="s">
        <v>19</v>
      </c>
    </row>
    <row r="588" spans="1:13" x14ac:dyDescent="0.3">
      <c r="A588">
        <v>24</v>
      </c>
      <c r="B588" t="s">
        <v>13</v>
      </c>
      <c r="C588" t="s">
        <v>20</v>
      </c>
      <c r="D588" t="s">
        <v>21</v>
      </c>
      <c r="E588">
        <v>4</v>
      </c>
      <c r="F588">
        <v>3</v>
      </c>
      <c r="G588" t="s">
        <v>28</v>
      </c>
      <c r="H588" t="s">
        <v>31</v>
      </c>
      <c r="I588">
        <v>46000</v>
      </c>
      <c r="K588">
        <v>28</v>
      </c>
      <c r="L588" t="s">
        <v>18</v>
      </c>
      <c r="M588" t="s">
        <v>19</v>
      </c>
    </row>
    <row r="589" spans="1:13" x14ac:dyDescent="0.3">
      <c r="A589">
        <v>28</v>
      </c>
      <c r="B589" t="s">
        <v>13</v>
      </c>
      <c r="C589" t="s">
        <v>14</v>
      </c>
      <c r="D589" t="s">
        <v>15</v>
      </c>
      <c r="E589">
        <v>8</v>
      </c>
      <c r="F589">
        <v>1</v>
      </c>
      <c r="G589" t="s">
        <v>16</v>
      </c>
      <c r="H589" t="s">
        <v>31</v>
      </c>
      <c r="I589">
        <v>57000</v>
      </c>
      <c r="J589">
        <v>0</v>
      </c>
      <c r="K589">
        <v>28</v>
      </c>
      <c r="L589" t="s">
        <v>18</v>
      </c>
      <c r="M589" t="s">
        <v>19</v>
      </c>
    </row>
    <row r="590" spans="1:13" x14ac:dyDescent="0.3">
      <c r="A590">
        <v>28</v>
      </c>
      <c r="B590" t="s">
        <v>13</v>
      </c>
      <c r="C590" t="s">
        <v>14</v>
      </c>
      <c r="D590" t="s">
        <v>15</v>
      </c>
      <c r="E590">
        <v>8</v>
      </c>
      <c r="F590">
        <v>1</v>
      </c>
      <c r="G590" t="s">
        <v>16</v>
      </c>
      <c r="H590" t="s">
        <v>31</v>
      </c>
      <c r="I590">
        <v>57000</v>
      </c>
      <c r="J590">
        <v>0</v>
      </c>
      <c r="K590">
        <v>28</v>
      </c>
      <c r="L590" t="s">
        <v>18</v>
      </c>
      <c r="M590" t="s">
        <v>19</v>
      </c>
    </row>
    <row r="591" spans="1:13" x14ac:dyDescent="0.3">
      <c r="A591">
        <v>30</v>
      </c>
      <c r="B591" t="s">
        <v>13</v>
      </c>
      <c r="C591" t="s">
        <v>163</v>
      </c>
      <c r="D591" t="s">
        <v>21</v>
      </c>
      <c r="E591">
        <v>2</v>
      </c>
      <c r="G591" t="s">
        <v>28</v>
      </c>
      <c r="H591" t="s">
        <v>50</v>
      </c>
      <c r="I591">
        <v>13000</v>
      </c>
      <c r="J591">
        <v>0</v>
      </c>
      <c r="K591">
        <v>28</v>
      </c>
      <c r="L591" t="s">
        <v>164</v>
      </c>
      <c r="M591" t="s">
        <v>19</v>
      </c>
    </row>
    <row r="592" spans="1:13" x14ac:dyDescent="0.3">
      <c r="A592">
        <v>30</v>
      </c>
      <c r="B592" t="s">
        <v>13</v>
      </c>
      <c r="C592" t="s">
        <v>20</v>
      </c>
      <c r="D592" t="s">
        <v>81</v>
      </c>
      <c r="E592">
        <v>6</v>
      </c>
      <c r="F592">
        <v>2</v>
      </c>
      <c r="G592" t="s">
        <v>28</v>
      </c>
      <c r="H592" t="s">
        <v>50</v>
      </c>
      <c r="I592">
        <v>59000</v>
      </c>
      <c r="J592">
        <v>0</v>
      </c>
      <c r="K592">
        <v>28</v>
      </c>
      <c r="L592" t="s">
        <v>18</v>
      </c>
      <c r="M592" t="s">
        <v>19</v>
      </c>
    </row>
    <row r="593" spans="1:13" x14ac:dyDescent="0.3">
      <c r="A593">
        <v>33</v>
      </c>
      <c r="B593" t="s">
        <v>13</v>
      </c>
      <c r="C593" t="s">
        <v>20</v>
      </c>
      <c r="D593" t="s">
        <v>81</v>
      </c>
      <c r="E593">
        <v>10</v>
      </c>
      <c r="F593">
        <v>5</v>
      </c>
      <c r="G593" t="s">
        <v>28</v>
      </c>
      <c r="H593" t="s">
        <v>50</v>
      </c>
      <c r="I593">
        <v>62000</v>
      </c>
      <c r="K593">
        <v>28</v>
      </c>
      <c r="L593" t="s">
        <v>18</v>
      </c>
      <c r="M593" t="s">
        <v>19</v>
      </c>
    </row>
    <row r="594" spans="1:13" x14ac:dyDescent="0.3">
      <c r="A594">
        <v>36</v>
      </c>
      <c r="B594" t="s">
        <v>33</v>
      </c>
      <c r="C594" t="s">
        <v>20</v>
      </c>
      <c r="D594" t="s">
        <v>53</v>
      </c>
      <c r="E594">
        <v>5</v>
      </c>
      <c r="F594">
        <v>5</v>
      </c>
      <c r="G594" t="s">
        <v>16</v>
      </c>
      <c r="H594" t="s">
        <v>50</v>
      </c>
      <c r="I594">
        <v>75000</v>
      </c>
      <c r="J594">
        <v>0</v>
      </c>
      <c r="K594">
        <v>28</v>
      </c>
      <c r="L594" t="s">
        <v>18</v>
      </c>
      <c r="M594" t="s">
        <v>19</v>
      </c>
    </row>
    <row r="595" spans="1:13" x14ac:dyDescent="0.3">
      <c r="A595">
        <v>33</v>
      </c>
      <c r="B595" t="s">
        <v>13</v>
      </c>
      <c r="C595" t="s">
        <v>14</v>
      </c>
      <c r="D595" t="s">
        <v>15</v>
      </c>
      <c r="E595">
        <v>11</v>
      </c>
      <c r="F595">
        <v>1</v>
      </c>
      <c r="G595" t="s">
        <v>16</v>
      </c>
      <c r="H595" t="s">
        <v>50</v>
      </c>
      <c r="I595">
        <v>65000</v>
      </c>
      <c r="K595">
        <v>28</v>
      </c>
      <c r="L595" t="s">
        <v>18</v>
      </c>
      <c r="M595" t="s">
        <v>19</v>
      </c>
    </row>
    <row r="596" spans="1:13" x14ac:dyDescent="0.3">
      <c r="A596">
        <v>46</v>
      </c>
      <c r="B596" t="s">
        <v>13</v>
      </c>
      <c r="C596" t="s">
        <v>14</v>
      </c>
      <c r="D596" t="s">
        <v>15</v>
      </c>
      <c r="E596">
        <v>10</v>
      </c>
      <c r="F596">
        <v>2</v>
      </c>
      <c r="G596" t="s">
        <v>16</v>
      </c>
      <c r="H596" t="s">
        <v>50</v>
      </c>
      <c r="I596">
        <v>68500</v>
      </c>
      <c r="K596">
        <v>28</v>
      </c>
      <c r="L596" t="s">
        <v>18</v>
      </c>
      <c r="M596" t="s">
        <v>19</v>
      </c>
    </row>
    <row r="597" spans="1:13" x14ac:dyDescent="0.3">
      <c r="A597">
        <v>29</v>
      </c>
      <c r="B597" t="s">
        <v>13</v>
      </c>
      <c r="C597" t="s">
        <v>20</v>
      </c>
      <c r="D597" t="s">
        <v>25</v>
      </c>
      <c r="E597">
        <v>3</v>
      </c>
      <c r="F597">
        <v>3</v>
      </c>
      <c r="G597" t="s">
        <v>28</v>
      </c>
      <c r="H597" t="s">
        <v>247</v>
      </c>
      <c r="I597">
        <v>43000</v>
      </c>
      <c r="J597">
        <v>4300</v>
      </c>
      <c r="K597">
        <v>28</v>
      </c>
      <c r="L597" t="s">
        <v>18</v>
      </c>
      <c r="M597" t="s">
        <v>19</v>
      </c>
    </row>
    <row r="598" spans="1:13" x14ac:dyDescent="0.3">
      <c r="A598">
        <v>32</v>
      </c>
      <c r="B598" t="s">
        <v>13</v>
      </c>
      <c r="C598" t="s">
        <v>20</v>
      </c>
      <c r="D598" t="s">
        <v>21</v>
      </c>
      <c r="E598">
        <v>10</v>
      </c>
      <c r="F598">
        <v>3</v>
      </c>
      <c r="G598" t="s">
        <v>24</v>
      </c>
      <c r="H598" t="s">
        <v>22</v>
      </c>
      <c r="I598">
        <v>80000</v>
      </c>
      <c r="J598">
        <v>0</v>
      </c>
      <c r="K598">
        <v>28</v>
      </c>
      <c r="L598" t="s">
        <v>18</v>
      </c>
      <c r="M598" t="s">
        <v>19</v>
      </c>
    </row>
    <row r="599" spans="1:13" x14ac:dyDescent="0.3">
      <c r="A599">
        <v>28</v>
      </c>
      <c r="B599" t="s">
        <v>13</v>
      </c>
      <c r="C599" t="s">
        <v>20</v>
      </c>
      <c r="D599" t="s">
        <v>21</v>
      </c>
      <c r="E599">
        <v>8</v>
      </c>
      <c r="F599">
        <v>1</v>
      </c>
      <c r="G599" t="s">
        <v>24</v>
      </c>
      <c r="H599" t="s">
        <v>22</v>
      </c>
      <c r="I599">
        <v>67000</v>
      </c>
      <c r="K599">
        <v>28</v>
      </c>
      <c r="L599" t="s">
        <v>18</v>
      </c>
      <c r="M599" t="s">
        <v>19</v>
      </c>
    </row>
    <row r="600" spans="1:13" x14ac:dyDescent="0.3">
      <c r="A600">
        <v>33</v>
      </c>
      <c r="B600" t="s">
        <v>13</v>
      </c>
      <c r="C600" t="s">
        <v>20</v>
      </c>
      <c r="D600" t="s">
        <v>15</v>
      </c>
      <c r="E600">
        <v>7</v>
      </c>
      <c r="F600">
        <v>1</v>
      </c>
      <c r="G600" t="s">
        <v>28</v>
      </c>
      <c r="H600" t="s">
        <v>22</v>
      </c>
      <c r="I600">
        <v>54000</v>
      </c>
      <c r="J600">
        <v>0</v>
      </c>
      <c r="K600">
        <v>28</v>
      </c>
      <c r="L600" t="s">
        <v>18</v>
      </c>
      <c r="M600" t="s">
        <v>19</v>
      </c>
    </row>
    <row r="601" spans="1:13" x14ac:dyDescent="0.3">
      <c r="A601">
        <v>32</v>
      </c>
      <c r="B601" t="s">
        <v>13</v>
      </c>
      <c r="C601" t="s">
        <v>20</v>
      </c>
      <c r="D601" t="s">
        <v>21</v>
      </c>
      <c r="E601">
        <v>4</v>
      </c>
      <c r="F601">
        <v>1</v>
      </c>
      <c r="G601" t="s">
        <v>16</v>
      </c>
      <c r="H601" t="s">
        <v>22</v>
      </c>
      <c r="I601">
        <v>65000</v>
      </c>
      <c r="K601">
        <v>28</v>
      </c>
      <c r="L601" t="s">
        <v>18</v>
      </c>
      <c r="M601" t="s">
        <v>19</v>
      </c>
    </row>
    <row r="602" spans="1:13" x14ac:dyDescent="0.3">
      <c r="A602">
        <v>33</v>
      </c>
      <c r="B602" t="s">
        <v>33</v>
      </c>
      <c r="C602" t="s">
        <v>20</v>
      </c>
      <c r="D602" t="s">
        <v>38</v>
      </c>
      <c r="E602">
        <v>6</v>
      </c>
      <c r="F602">
        <v>1</v>
      </c>
      <c r="G602" t="s">
        <v>28</v>
      </c>
      <c r="H602" t="s">
        <v>529</v>
      </c>
      <c r="I602">
        <v>42000</v>
      </c>
      <c r="J602">
        <v>0</v>
      </c>
      <c r="K602">
        <v>28</v>
      </c>
      <c r="L602" t="s">
        <v>18</v>
      </c>
      <c r="M602" t="s">
        <v>19</v>
      </c>
    </row>
    <row r="603" spans="1:13" x14ac:dyDescent="0.3">
      <c r="A603">
        <v>43</v>
      </c>
      <c r="B603" t="s">
        <v>13</v>
      </c>
      <c r="C603" t="s">
        <v>20</v>
      </c>
      <c r="D603" t="s">
        <v>27</v>
      </c>
      <c r="E603">
        <v>21</v>
      </c>
      <c r="F603">
        <v>26</v>
      </c>
      <c r="G603" t="s">
        <v>24</v>
      </c>
      <c r="I603">
        <v>83000</v>
      </c>
      <c r="K603">
        <v>28</v>
      </c>
      <c r="L603" t="s">
        <v>36</v>
      </c>
      <c r="M603" t="s">
        <v>19</v>
      </c>
    </row>
    <row r="604" spans="1:13" x14ac:dyDescent="0.3">
      <c r="A604">
        <v>35</v>
      </c>
      <c r="B604" t="s">
        <v>13</v>
      </c>
      <c r="C604" t="s">
        <v>20</v>
      </c>
      <c r="D604" t="s">
        <v>374</v>
      </c>
      <c r="F604">
        <v>5</v>
      </c>
      <c r="G604" t="s">
        <v>24</v>
      </c>
      <c r="I604">
        <v>85000</v>
      </c>
      <c r="K604">
        <v>28</v>
      </c>
      <c r="L604" t="s">
        <v>18</v>
      </c>
      <c r="M604" t="s">
        <v>19</v>
      </c>
    </row>
    <row r="605" spans="1:13" x14ac:dyDescent="0.3">
      <c r="A605">
        <v>28</v>
      </c>
      <c r="B605" t="s">
        <v>13</v>
      </c>
      <c r="C605" t="s">
        <v>14</v>
      </c>
      <c r="D605" t="s">
        <v>300</v>
      </c>
      <c r="E605">
        <v>6</v>
      </c>
      <c r="F605">
        <v>3</v>
      </c>
      <c r="G605" t="s">
        <v>28</v>
      </c>
      <c r="I605">
        <v>65000</v>
      </c>
      <c r="J605">
        <v>10000</v>
      </c>
      <c r="K605">
        <v>28</v>
      </c>
      <c r="L605" t="s">
        <v>18</v>
      </c>
      <c r="M605" t="s">
        <v>19</v>
      </c>
    </row>
    <row r="606" spans="1:13" x14ac:dyDescent="0.3">
      <c r="A606">
        <v>41</v>
      </c>
      <c r="B606" t="s">
        <v>13</v>
      </c>
      <c r="C606" t="s">
        <v>20</v>
      </c>
      <c r="D606" t="s">
        <v>41</v>
      </c>
      <c r="E606">
        <v>18</v>
      </c>
      <c r="F606">
        <v>2</v>
      </c>
      <c r="G606" t="s">
        <v>16</v>
      </c>
      <c r="I606">
        <v>78000</v>
      </c>
      <c r="K606">
        <v>28</v>
      </c>
      <c r="L606" t="s">
        <v>18</v>
      </c>
      <c r="M606" t="s">
        <v>19</v>
      </c>
    </row>
    <row r="607" spans="1:13" x14ac:dyDescent="0.3">
      <c r="A607">
        <v>29</v>
      </c>
      <c r="B607" t="s">
        <v>33</v>
      </c>
      <c r="C607" t="s">
        <v>20</v>
      </c>
      <c r="D607" t="s">
        <v>52</v>
      </c>
      <c r="E607">
        <v>8</v>
      </c>
      <c r="F607">
        <v>5</v>
      </c>
      <c r="G607" t="s">
        <v>16</v>
      </c>
      <c r="I607">
        <v>60000</v>
      </c>
      <c r="K607">
        <v>28</v>
      </c>
      <c r="L607" t="s">
        <v>18</v>
      </c>
      <c r="M607" t="s">
        <v>19</v>
      </c>
    </row>
    <row r="608" spans="1:13" x14ac:dyDescent="0.3">
      <c r="A608">
        <v>27</v>
      </c>
      <c r="B608" t="s">
        <v>13</v>
      </c>
      <c r="C608" t="s">
        <v>70</v>
      </c>
      <c r="D608" t="s">
        <v>15</v>
      </c>
      <c r="E608">
        <v>5</v>
      </c>
      <c r="F608">
        <v>3</v>
      </c>
      <c r="G608" t="s">
        <v>28</v>
      </c>
      <c r="H608" t="s">
        <v>64</v>
      </c>
      <c r="I608">
        <v>48000</v>
      </c>
      <c r="J608">
        <v>0</v>
      </c>
      <c r="K608">
        <v>28</v>
      </c>
      <c r="L608" t="s">
        <v>18</v>
      </c>
      <c r="M608" t="s">
        <v>67</v>
      </c>
    </row>
    <row r="609" spans="1:13" x14ac:dyDescent="0.3">
      <c r="A609">
        <v>36</v>
      </c>
      <c r="B609" t="s">
        <v>13</v>
      </c>
      <c r="C609" t="s">
        <v>20</v>
      </c>
      <c r="D609" t="s">
        <v>252</v>
      </c>
      <c r="E609">
        <v>4</v>
      </c>
      <c r="F609">
        <v>4</v>
      </c>
      <c r="G609" t="s">
        <v>28</v>
      </c>
      <c r="H609" t="s">
        <v>37</v>
      </c>
      <c r="I609">
        <v>40000</v>
      </c>
      <c r="K609">
        <v>28</v>
      </c>
      <c r="L609" t="s">
        <v>18</v>
      </c>
      <c r="M609" t="s">
        <v>67</v>
      </c>
    </row>
    <row r="610" spans="1:13" x14ac:dyDescent="0.3">
      <c r="A610">
        <v>24</v>
      </c>
      <c r="B610" t="s">
        <v>13</v>
      </c>
      <c r="C610" t="s">
        <v>20</v>
      </c>
      <c r="D610" t="s">
        <v>15</v>
      </c>
      <c r="E610">
        <v>2</v>
      </c>
      <c r="F610">
        <v>2</v>
      </c>
      <c r="G610" t="s">
        <v>26</v>
      </c>
      <c r="H610" t="s">
        <v>32</v>
      </c>
      <c r="I610">
        <v>60000</v>
      </c>
      <c r="J610">
        <v>0</v>
      </c>
      <c r="K610">
        <v>28</v>
      </c>
      <c r="L610" t="s">
        <v>36</v>
      </c>
      <c r="M610" t="s">
        <v>67</v>
      </c>
    </row>
    <row r="611" spans="1:13" x14ac:dyDescent="0.3">
      <c r="A611">
        <v>36</v>
      </c>
      <c r="B611" t="s">
        <v>13</v>
      </c>
      <c r="C611" t="s">
        <v>133</v>
      </c>
      <c r="D611" t="s">
        <v>25</v>
      </c>
      <c r="E611">
        <v>1</v>
      </c>
      <c r="F611">
        <v>0.5</v>
      </c>
      <c r="G611" t="s">
        <v>26</v>
      </c>
      <c r="H611" t="s">
        <v>55</v>
      </c>
      <c r="I611">
        <v>37500</v>
      </c>
      <c r="K611">
        <v>28</v>
      </c>
      <c r="L611" t="s">
        <v>36</v>
      </c>
      <c r="M611" t="s">
        <v>67</v>
      </c>
    </row>
    <row r="612" spans="1:13" x14ac:dyDescent="0.3">
      <c r="A612">
        <v>23</v>
      </c>
      <c r="B612" t="s">
        <v>13</v>
      </c>
      <c r="C612" t="s">
        <v>169</v>
      </c>
      <c r="D612" t="s">
        <v>15</v>
      </c>
      <c r="E612">
        <v>4</v>
      </c>
      <c r="F612">
        <v>0</v>
      </c>
      <c r="G612" t="s">
        <v>28</v>
      </c>
      <c r="H612" t="s">
        <v>31</v>
      </c>
      <c r="I612">
        <v>34000</v>
      </c>
      <c r="K612">
        <v>28</v>
      </c>
      <c r="L612" t="s">
        <v>18</v>
      </c>
      <c r="M612" t="s">
        <v>67</v>
      </c>
    </row>
    <row r="613" spans="1:13" x14ac:dyDescent="0.3">
      <c r="A613">
        <v>29</v>
      </c>
      <c r="B613" t="s">
        <v>13</v>
      </c>
      <c r="C613" t="s">
        <v>20</v>
      </c>
      <c r="D613" t="s">
        <v>53</v>
      </c>
      <c r="E613">
        <v>6</v>
      </c>
      <c r="F613">
        <v>1.5</v>
      </c>
      <c r="G613" t="s">
        <v>28</v>
      </c>
      <c r="H613" t="s">
        <v>50</v>
      </c>
      <c r="I613">
        <v>57000</v>
      </c>
      <c r="J613">
        <v>0</v>
      </c>
      <c r="K613">
        <v>28</v>
      </c>
      <c r="L613" t="s">
        <v>18</v>
      </c>
      <c r="M613" t="s">
        <v>67</v>
      </c>
    </row>
    <row r="614" spans="1:13" x14ac:dyDescent="0.3">
      <c r="A614">
        <v>28</v>
      </c>
      <c r="B614" t="s">
        <v>13</v>
      </c>
      <c r="C614" t="s">
        <v>14</v>
      </c>
      <c r="D614" t="s">
        <v>178</v>
      </c>
      <c r="E614">
        <v>9</v>
      </c>
      <c r="F614">
        <v>1</v>
      </c>
      <c r="G614" t="s">
        <v>16</v>
      </c>
      <c r="H614" t="s">
        <v>247</v>
      </c>
      <c r="I614">
        <v>60000</v>
      </c>
      <c r="J614">
        <v>0</v>
      </c>
      <c r="K614">
        <v>28</v>
      </c>
      <c r="L614" t="s">
        <v>18</v>
      </c>
      <c r="M614" t="s">
        <v>67</v>
      </c>
    </row>
    <row r="615" spans="1:13" x14ac:dyDescent="0.3">
      <c r="A615">
        <v>28</v>
      </c>
      <c r="B615" t="s">
        <v>13</v>
      </c>
      <c r="C615" t="s">
        <v>84</v>
      </c>
      <c r="D615" t="s">
        <v>85</v>
      </c>
      <c r="E615">
        <v>8</v>
      </c>
      <c r="F615">
        <v>1</v>
      </c>
      <c r="G615" t="s">
        <v>16</v>
      </c>
      <c r="H615" t="s">
        <v>42</v>
      </c>
      <c r="I615">
        <v>60000</v>
      </c>
      <c r="J615">
        <v>12000</v>
      </c>
      <c r="K615">
        <v>28</v>
      </c>
      <c r="L615" t="s">
        <v>18</v>
      </c>
      <c r="M615" t="s">
        <v>67</v>
      </c>
    </row>
    <row r="616" spans="1:13" x14ac:dyDescent="0.3">
      <c r="B616" t="s">
        <v>13</v>
      </c>
      <c r="C616" t="s">
        <v>34</v>
      </c>
      <c r="D616" t="s">
        <v>151</v>
      </c>
      <c r="F616">
        <v>2</v>
      </c>
      <c r="G616" t="s">
        <v>16</v>
      </c>
      <c r="I616">
        <v>61000</v>
      </c>
      <c r="K616">
        <v>28</v>
      </c>
      <c r="L616" t="s">
        <v>18</v>
      </c>
    </row>
    <row r="617" spans="1:13" x14ac:dyDescent="0.3">
      <c r="A617">
        <v>32</v>
      </c>
      <c r="B617" t="s">
        <v>33</v>
      </c>
      <c r="C617" t="s">
        <v>20</v>
      </c>
      <c r="D617" t="s">
        <v>382</v>
      </c>
      <c r="E617">
        <v>5</v>
      </c>
      <c r="F617">
        <v>5</v>
      </c>
      <c r="G617" t="s">
        <v>28</v>
      </c>
      <c r="H617" t="s">
        <v>32</v>
      </c>
      <c r="I617">
        <v>50400</v>
      </c>
      <c r="J617">
        <v>0</v>
      </c>
      <c r="K617">
        <v>29</v>
      </c>
      <c r="L617" t="s">
        <v>18</v>
      </c>
      <c r="M617" s="97" t="s">
        <v>552</v>
      </c>
    </row>
    <row r="618" spans="1:13" x14ac:dyDescent="0.3">
      <c r="A618">
        <v>28</v>
      </c>
      <c r="B618" t="s">
        <v>13</v>
      </c>
      <c r="C618" t="s">
        <v>70</v>
      </c>
      <c r="D618" t="s">
        <v>25</v>
      </c>
      <c r="E618">
        <v>7</v>
      </c>
      <c r="F618">
        <v>5</v>
      </c>
      <c r="G618" t="s">
        <v>16</v>
      </c>
      <c r="H618" t="s">
        <v>55</v>
      </c>
      <c r="I618">
        <v>80000</v>
      </c>
      <c r="J618">
        <v>0</v>
      </c>
      <c r="K618">
        <v>29</v>
      </c>
      <c r="L618" t="s">
        <v>18</v>
      </c>
      <c r="M618" s="97" t="s">
        <v>552</v>
      </c>
    </row>
    <row r="619" spans="1:13" x14ac:dyDescent="0.3">
      <c r="A619">
        <v>54</v>
      </c>
      <c r="B619" t="s">
        <v>13</v>
      </c>
      <c r="C619" t="s">
        <v>345</v>
      </c>
      <c r="D619" t="s">
        <v>346</v>
      </c>
      <c r="E619">
        <v>31</v>
      </c>
      <c r="F619">
        <v>6</v>
      </c>
      <c r="G619" t="s">
        <v>62</v>
      </c>
      <c r="H619" t="s">
        <v>128</v>
      </c>
      <c r="I619">
        <v>110000</v>
      </c>
      <c r="J619">
        <v>100000</v>
      </c>
      <c r="K619">
        <v>29</v>
      </c>
      <c r="L619" t="s">
        <v>18</v>
      </c>
      <c r="M619" s="97" t="s">
        <v>552</v>
      </c>
    </row>
    <row r="620" spans="1:13" x14ac:dyDescent="0.3">
      <c r="A620">
        <v>32</v>
      </c>
      <c r="B620" t="s">
        <v>13</v>
      </c>
      <c r="C620" t="s">
        <v>14</v>
      </c>
      <c r="D620" t="s">
        <v>15</v>
      </c>
      <c r="E620">
        <v>7</v>
      </c>
      <c r="F620">
        <v>1</v>
      </c>
      <c r="G620" t="s">
        <v>16</v>
      </c>
      <c r="H620" t="s">
        <v>50</v>
      </c>
      <c r="I620">
        <v>72000</v>
      </c>
      <c r="J620">
        <v>0</v>
      </c>
      <c r="K620">
        <v>29</v>
      </c>
      <c r="L620" t="s">
        <v>18</v>
      </c>
      <c r="M620" s="97" t="s">
        <v>552</v>
      </c>
    </row>
    <row r="621" spans="1:13" x14ac:dyDescent="0.3">
      <c r="A621">
        <v>31</v>
      </c>
      <c r="B621" t="s">
        <v>13</v>
      </c>
      <c r="C621" t="s">
        <v>14</v>
      </c>
      <c r="D621" t="s">
        <v>25</v>
      </c>
      <c r="E621">
        <v>12</v>
      </c>
      <c r="F621">
        <v>1.5</v>
      </c>
      <c r="G621" t="s">
        <v>24</v>
      </c>
      <c r="H621" t="s">
        <v>17</v>
      </c>
      <c r="I621">
        <v>85000</v>
      </c>
      <c r="J621">
        <v>3000</v>
      </c>
      <c r="K621">
        <v>29</v>
      </c>
      <c r="L621" t="s">
        <v>18</v>
      </c>
      <c r="M621" s="97" t="s">
        <v>552</v>
      </c>
    </row>
    <row r="622" spans="1:13" x14ac:dyDescent="0.3">
      <c r="A622">
        <v>35</v>
      </c>
      <c r="B622" t="s">
        <v>13</v>
      </c>
      <c r="C622" t="s">
        <v>20</v>
      </c>
      <c r="D622" t="s">
        <v>38</v>
      </c>
      <c r="E622">
        <v>10</v>
      </c>
      <c r="F622">
        <v>6</v>
      </c>
      <c r="G622" t="s">
        <v>16</v>
      </c>
      <c r="I622">
        <v>50400</v>
      </c>
      <c r="J622">
        <v>0</v>
      </c>
      <c r="K622">
        <v>29</v>
      </c>
      <c r="L622" t="s">
        <v>36</v>
      </c>
      <c r="M622" s="97" t="s">
        <v>552</v>
      </c>
    </row>
    <row r="623" spans="1:13" x14ac:dyDescent="0.3">
      <c r="A623">
        <v>25</v>
      </c>
      <c r="B623" t="s">
        <v>13</v>
      </c>
      <c r="C623" t="s">
        <v>34</v>
      </c>
      <c r="D623" t="s">
        <v>21</v>
      </c>
      <c r="E623">
        <v>5</v>
      </c>
      <c r="F623">
        <v>1</v>
      </c>
      <c r="G623" t="s">
        <v>28</v>
      </c>
      <c r="H623" t="s">
        <v>32</v>
      </c>
      <c r="I623">
        <v>53500</v>
      </c>
      <c r="J623">
        <v>53500</v>
      </c>
      <c r="K623">
        <v>29</v>
      </c>
      <c r="L623" t="s">
        <v>18</v>
      </c>
      <c r="M623" t="s">
        <v>30</v>
      </c>
    </row>
    <row r="624" spans="1:13" x14ac:dyDescent="0.3">
      <c r="A624">
        <v>25</v>
      </c>
      <c r="B624" t="s">
        <v>13</v>
      </c>
      <c r="C624" t="s">
        <v>20</v>
      </c>
      <c r="D624" t="s">
        <v>15</v>
      </c>
      <c r="E624">
        <v>6</v>
      </c>
      <c r="F624">
        <v>2</v>
      </c>
      <c r="G624" t="s">
        <v>28</v>
      </c>
      <c r="H624" t="s">
        <v>32</v>
      </c>
      <c r="I624">
        <v>63700</v>
      </c>
      <c r="J624">
        <v>1600</v>
      </c>
      <c r="K624">
        <v>29</v>
      </c>
      <c r="L624" t="s">
        <v>18</v>
      </c>
      <c r="M624" t="s">
        <v>30</v>
      </c>
    </row>
    <row r="625" spans="1:13" x14ac:dyDescent="0.3">
      <c r="A625">
        <v>49</v>
      </c>
      <c r="B625" t="s">
        <v>13</v>
      </c>
      <c r="C625" t="s">
        <v>20</v>
      </c>
      <c r="D625" t="s">
        <v>15</v>
      </c>
      <c r="E625">
        <v>15</v>
      </c>
      <c r="F625">
        <v>15</v>
      </c>
      <c r="G625" t="s">
        <v>16</v>
      </c>
      <c r="H625" t="s">
        <v>32</v>
      </c>
      <c r="I625">
        <v>67000</v>
      </c>
      <c r="J625">
        <v>1500</v>
      </c>
      <c r="K625">
        <v>29</v>
      </c>
      <c r="L625" t="s">
        <v>36</v>
      </c>
      <c r="M625" t="s">
        <v>30</v>
      </c>
    </row>
    <row r="626" spans="1:13" x14ac:dyDescent="0.3">
      <c r="A626">
        <v>30</v>
      </c>
      <c r="B626" t="s">
        <v>13</v>
      </c>
      <c r="C626" t="s">
        <v>20</v>
      </c>
      <c r="D626" t="s">
        <v>15</v>
      </c>
      <c r="E626">
        <v>11</v>
      </c>
      <c r="F626">
        <v>1</v>
      </c>
      <c r="G626" t="s">
        <v>16</v>
      </c>
      <c r="H626" t="s">
        <v>32</v>
      </c>
      <c r="I626">
        <v>90000</v>
      </c>
      <c r="J626">
        <v>90000</v>
      </c>
      <c r="K626">
        <v>29</v>
      </c>
      <c r="L626" t="s">
        <v>18</v>
      </c>
      <c r="M626" t="s">
        <v>30</v>
      </c>
    </row>
    <row r="627" spans="1:13" x14ac:dyDescent="0.3">
      <c r="A627">
        <v>34</v>
      </c>
      <c r="B627" t="s">
        <v>13</v>
      </c>
      <c r="C627" t="s">
        <v>20</v>
      </c>
      <c r="D627" t="s">
        <v>21</v>
      </c>
      <c r="E627">
        <v>14</v>
      </c>
      <c r="F627">
        <v>6</v>
      </c>
      <c r="G627" t="s">
        <v>24</v>
      </c>
      <c r="H627" t="s">
        <v>40</v>
      </c>
      <c r="I627">
        <v>96000</v>
      </c>
      <c r="J627">
        <v>100000</v>
      </c>
      <c r="K627">
        <v>29</v>
      </c>
      <c r="L627" t="s">
        <v>18</v>
      </c>
      <c r="M627" t="s">
        <v>30</v>
      </c>
    </row>
    <row r="628" spans="1:13" x14ac:dyDescent="0.3">
      <c r="A628">
        <v>54</v>
      </c>
      <c r="B628" t="s">
        <v>13</v>
      </c>
      <c r="C628" t="s">
        <v>14</v>
      </c>
      <c r="D628" t="s">
        <v>15</v>
      </c>
      <c r="E628">
        <v>25</v>
      </c>
      <c r="F628">
        <v>15</v>
      </c>
      <c r="G628" t="s">
        <v>28</v>
      </c>
      <c r="H628" t="s">
        <v>50</v>
      </c>
      <c r="I628">
        <v>75000</v>
      </c>
      <c r="J628">
        <v>5000</v>
      </c>
      <c r="K628">
        <v>29</v>
      </c>
      <c r="L628" t="s">
        <v>18</v>
      </c>
      <c r="M628" t="s">
        <v>30</v>
      </c>
    </row>
    <row r="629" spans="1:13" x14ac:dyDescent="0.3">
      <c r="A629">
        <v>41</v>
      </c>
      <c r="B629" t="s">
        <v>13</v>
      </c>
      <c r="C629" t="s">
        <v>20</v>
      </c>
      <c r="D629" t="s">
        <v>21</v>
      </c>
      <c r="E629">
        <v>20</v>
      </c>
      <c r="F629">
        <v>5</v>
      </c>
      <c r="G629" t="s">
        <v>16</v>
      </c>
      <c r="H629" t="s">
        <v>50</v>
      </c>
      <c r="I629">
        <v>93000</v>
      </c>
      <c r="J629">
        <v>1000</v>
      </c>
      <c r="K629">
        <v>29</v>
      </c>
      <c r="L629" t="s">
        <v>18</v>
      </c>
      <c r="M629" t="s">
        <v>30</v>
      </c>
    </row>
    <row r="630" spans="1:13" x14ac:dyDescent="0.3">
      <c r="A630">
        <v>33</v>
      </c>
      <c r="B630" t="s">
        <v>13</v>
      </c>
      <c r="C630" t="s">
        <v>20</v>
      </c>
      <c r="D630" t="s">
        <v>134</v>
      </c>
      <c r="E630">
        <v>10</v>
      </c>
      <c r="F630">
        <v>2</v>
      </c>
      <c r="G630" t="s">
        <v>28</v>
      </c>
      <c r="H630" t="s">
        <v>80</v>
      </c>
      <c r="I630">
        <v>67000</v>
      </c>
      <c r="K630">
        <v>29</v>
      </c>
      <c r="L630" t="s">
        <v>18</v>
      </c>
      <c r="M630" t="s">
        <v>30</v>
      </c>
    </row>
    <row r="631" spans="1:13" x14ac:dyDescent="0.3">
      <c r="A631">
        <v>37</v>
      </c>
      <c r="B631" t="s">
        <v>13</v>
      </c>
      <c r="C631" t="s">
        <v>20</v>
      </c>
      <c r="D631" t="s">
        <v>43</v>
      </c>
      <c r="E631">
        <v>15</v>
      </c>
      <c r="F631">
        <v>5</v>
      </c>
      <c r="G631" t="s">
        <v>16</v>
      </c>
      <c r="H631" t="s">
        <v>79</v>
      </c>
      <c r="I631">
        <v>84700</v>
      </c>
      <c r="J631">
        <v>1000</v>
      </c>
      <c r="K631">
        <v>29</v>
      </c>
      <c r="L631" t="s">
        <v>18</v>
      </c>
      <c r="M631" t="s">
        <v>23</v>
      </c>
    </row>
    <row r="632" spans="1:13" x14ac:dyDescent="0.3">
      <c r="A632">
        <v>37</v>
      </c>
      <c r="B632" t="s">
        <v>13</v>
      </c>
      <c r="C632" t="s">
        <v>20</v>
      </c>
      <c r="D632" t="s">
        <v>21</v>
      </c>
      <c r="E632">
        <v>17</v>
      </c>
      <c r="F632">
        <v>6</v>
      </c>
      <c r="G632" t="s">
        <v>16</v>
      </c>
      <c r="H632" t="s">
        <v>64</v>
      </c>
      <c r="I632">
        <v>62000</v>
      </c>
      <c r="K632">
        <v>29</v>
      </c>
      <c r="L632" t="s">
        <v>18</v>
      </c>
      <c r="M632" t="s">
        <v>23</v>
      </c>
    </row>
    <row r="633" spans="1:13" x14ac:dyDescent="0.3">
      <c r="A633">
        <v>30</v>
      </c>
      <c r="B633" t="s">
        <v>13</v>
      </c>
      <c r="C633" t="s">
        <v>20</v>
      </c>
      <c r="D633" t="s">
        <v>21</v>
      </c>
      <c r="E633">
        <v>10</v>
      </c>
      <c r="F633">
        <v>4</v>
      </c>
      <c r="G633" t="s">
        <v>24</v>
      </c>
      <c r="H633" t="s">
        <v>32</v>
      </c>
      <c r="I633">
        <v>82000</v>
      </c>
      <c r="K633">
        <v>29</v>
      </c>
      <c r="L633" t="s">
        <v>18</v>
      </c>
      <c r="M633" t="s">
        <v>23</v>
      </c>
    </row>
    <row r="634" spans="1:13" x14ac:dyDescent="0.3">
      <c r="A634">
        <v>35</v>
      </c>
      <c r="B634" t="s">
        <v>33</v>
      </c>
      <c r="C634" t="s">
        <v>20</v>
      </c>
      <c r="D634" t="s">
        <v>25</v>
      </c>
      <c r="E634">
        <v>12</v>
      </c>
      <c r="F634">
        <v>5</v>
      </c>
      <c r="G634" t="s">
        <v>28</v>
      </c>
      <c r="H634" t="s">
        <v>55</v>
      </c>
      <c r="I634">
        <v>70000</v>
      </c>
      <c r="J634">
        <v>0</v>
      </c>
      <c r="K634">
        <v>29</v>
      </c>
      <c r="L634" t="s">
        <v>18</v>
      </c>
      <c r="M634" t="s">
        <v>23</v>
      </c>
    </row>
    <row r="635" spans="1:13" x14ac:dyDescent="0.3">
      <c r="A635">
        <v>35</v>
      </c>
      <c r="B635" t="s">
        <v>13</v>
      </c>
      <c r="C635" t="s">
        <v>14</v>
      </c>
      <c r="D635" t="s">
        <v>15</v>
      </c>
      <c r="E635">
        <v>11</v>
      </c>
      <c r="F635">
        <v>3</v>
      </c>
      <c r="G635" t="s">
        <v>16</v>
      </c>
      <c r="H635" t="s">
        <v>31</v>
      </c>
      <c r="I635">
        <v>65000</v>
      </c>
      <c r="J635">
        <v>5000</v>
      </c>
      <c r="K635">
        <v>29</v>
      </c>
      <c r="L635" t="s">
        <v>36</v>
      </c>
      <c r="M635" t="s">
        <v>23</v>
      </c>
    </row>
    <row r="636" spans="1:13" x14ac:dyDescent="0.3">
      <c r="A636">
        <v>29</v>
      </c>
      <c r="B636" t="s">
        <v>13</v>
      </c>
      <c r="C636" t="s">
        <v>20</v>
      </c>
      <c r="D636" t="s">
        <v>53</v>
      </c>
      <c r="E636">
        <v>4</v>
      </c>
      <c r="F636">
        <v>4</v>
      </c>
      <c r="G636" t="s">
        <v>16</v>
      </c>
      <c r="H636" t="s">
        <v>50</v>
      </c>
      <c r="I636">
        <v>81000</v>
      </c>
      <c r="K636">
        <v>29</v>
      </c>
      <c r="L636" t="s">
        <v>18</v>
      </c>
      <c r="M636" t="s">
        <v>23</v>
      </c>
    </row>
    <row r="637" spans="1:13" x14ac:dyDescent="0.3">
      <c r="A637">
        <v>35</v>
      </c>
      <c r="B637" t="s">
        <v>13</v>
      </c>
      <c r="C637" t="s">
        <v>20</v>
      </c>
      <c r="D637" t="s">
        <v>15</v>
      </c>
      <c r="E637">
        <v>13</v>
      </c>
      <c r="F637">
        <v>5</v>
      </c>
      <c r="G637" t="s">
        <v>24</v>
      </c>
      <c r="H637" t="s">
        <v>17</v>
      </c>
      <c r="I637">
        <v>103000</v>
      </c>
      <c r="J637">
        <v>200000</v>
      </c>
      <c r="K637">
        <v>29</v>
      </c>
      <c r="L637" t="s">
        <v>18</v>
      </c>
      <c r="M637" t="s">
        <v>23</v>
      </c>
    </row>
    <row r="638" spans="1:13" x14ac:dyDescent="0.3">
      <c r="A638">
        <v>33</v>
      </c>
      <c r="B638" t="s">
        <v>13</v>
      </c>
      <c r="C638" t="s">
        <v>14</v>
      </c>
      <c r="D638" t="s">
        <v>15</v>
      </c>
      <c r="E638">
        <v>9</v>
      </c>
      <c r="F638">
        <v>9</v>
      </c>
      <c r="G638" t="s">
        <v>24</v>
      </c>
      <c r="H638" t="s">
        <v>32</v>
      </c>
      <c r="I638">
        <v>100000</v>
      </c>
      <c r="J638">
        <v>0</v>
      </c>
      <c r="K638">
        <v>29</v>
      </c>
      <c r="L638" t="s">
        <v>36</v>
      </c>
      <c r="M638" t="s">
        <v>19</v>
      </c>
    </row>
    <row r="639" spans="1:13" x14ac:dyDescent="0.3">
      <c r="A639">
        <v>39</v>
      </c>
      <c r="B639" t="s">
        <v>13</v>
      </c>
      <c r="C639" t="s">
        <v>20</v>
      </c>
      <c r="D639" t="s">
        <v>15</v>
      </c>
      <c r="E639">
        <v>8</v>
      </c>
      <c r="F639">
        <v>5</v>
      </c>
      <c r="G639" t="s">
        <v>16</v>
      </c>
      <c r="H639" t="s">
        <v>32</v>
      </c>
      <c r="I639">
        <v>80000</v>
      </c>
      <c r="K639">
        <v>29</v>
      </c>
      <c r="L639" t="s">
        <v>18</v>
      </c>
      <c r="M639" t="s">
        <v>19</v>
      </c>
    </row>
    <row r="640" spans="1:13" x14ac:dyDescent="0.3">
      <c r="B640" t="s">
        <v>13</v>
      </c>
      <c r="C640" t="s">
        <v>183</v>
      </c>
      <c r="D640" t="s">
        <v>21</v>
      </c>
      <c r="E640">
        <v>8</v>
      </c>
      <c r="F640">
        <v>8</v>
      </c>
      <c r="G640" t="s">
        <v>24</v>
      </c>
      <c r="H640" t="s">
        <v>50</v>
      </c>
      <c r="I640">
        <v>65000</v>
      </c>
      <c r="J640">
        <v>5400</v>
      </c>
      <c r="K640">
        <v>29</v>
      </c>
      <c r="L640" t="s">
        <v>18</v>
      </c>
      <c r="M640" t="s">
        <v>67</v>
      </c>
    </row>
    <row r="641" spans="1:13" x14ac:dyDescent="0.3">
      <c r="A641">
        <v>35</v>
      </c>
      <c r="B641" t="s">
        <v>13</v>
      </c>
      <c r="C641" t="s">
        <v>20</v>
      </c>
      <c r="D641" t="s">
        <v>15</v>
      </c>
      <c r="E641">
        <v>15</v>
      </c>
      <c r="F641">
        <v>10</v>
      </c>
      <c r="G641" t="s">
        <v>16</v>
      </c>
      <c r="H641" t="s">
        <v>58</v>
      </c>
      <c r="I641">
        <v>80000</v>
      </c>
      <c r="J641">
        <v>80000</v>
      </c>
      <c r="K641">
        <v>30</v>
      </c>
      <c r="L641" t="s">
        <v>18</v>
      </c>
      <c r="M641" s="97" t="s">
        <v>552</v>
      </c>
    </row>
    <row r="642" spans="1:13" x14ac:dyDescent="0.3">
      <c r="A642">
        <v>32</v>
      </c>
      <c r="B642" t="s">
        <v>13</v>
      </c>
      <c r="C642" t="s">
        <v>20</v>
      </c>
      <c r="D642" t="s">
        <v>27</v>
      </c>
      <c r="E642">
        <v>5</v>
      </c>
      <c r="F642">
        <v>1</v>
      </c>
      <c r="G642" t="s">
        <v>16</v>
      </c>
      <c r="H642" t="s">
        <v>226</v>
      </c>
      <c r="I642">
        <v>76000</v>
      </c>
      <c r="J642">
        <v>5000</v>
      </c>
      <c r="K642">
        <v>30</v>
      </c>
      <c r="L642" t="s">
        <v>18</v>
      </c>
      <c r="M642" s="97" t="s">
        <v>552</v>
      </c>
    </row>
    <row r="643" spans="1:13" x14ac:dyDescent="0.3">
      <c r="A643">
        <v>31</v>
      </c>
      <c r="B643" t="s">
        <v>13</v>
      </c>
      <c r="C643" t="s">
        <v>109</v>
      </c>
      <c r="D643" t="s">
        <v>110</v>
      </c>
      <c r="E643">
        <v>10</v>
      </c>
      <c r="F643">
        <v>3</v>
      </c>
      <c r="G643" t="s">
        <v>16</v>
      </c>
      <c r="H643" t="s">
        <v>111</v>
      </c>
      <c r="I643">
        <v>45000</v>
      </c>
      <c r="K643">
        <v>30</v>
      </c>
      <c r="L643" t="s">
        <v>18</v>
      </c>
      <c r="M643" s="97" t="s">
        <v>552</v>
      </c>
    </row>
    <row r="644" spans="1:13" x14ac:dyDescent="0.3">
      <c r="A644">
        <v>38</v>
      </c>
      <c r="B644" t="s">
        <v>13</v>
      </c>
      <c r="C644" t="s">
        <v>59</v>
      </c>
      <c r="D644" t="s">
        <v>15</v>
      </c>
      <c r="E644">
        <v>15</v>
      </c>
      <c r="F644">
        <v>8</v>
      </c>
      <c r="G644" t="s">
        <v>16</v>
      </c>
      <c r="H644" t="s">
        <v>64</v>
      </c>
      <c r="I644">
        <v>56400</v>
      </c>
      <c r="K644">
        <v>30</v>
      </c>
      <c r="L644" t="s">
        <v>18</v>
      </c>
      <c r="M644" s="97" t="s">
        <v>552</v>
      </c>
    </row>
    <row r="645" spans="1:13" x14ac:dyDescent="0.3">
      <c r="A645">
        <v>30</v>
      </c>
      <c r="B645" t="s">
        <v>13</v>
      </c>
      <c r="C645" t="s">
        <v>347</v>
      </c>
      <c r="D645" t="s">
        <v>15</v>
      </c>
      <c r="E645">
        <v>5</v>
      </c>
      <c r="F645">
        <v>3</v>
      </c>
      <c r="G645" t="s">
        <v>26</v>
      </c>
      <c r="H645" t="s">
        <v>37</v>
      </c>
      <c r="I645">
        <v>55000</v>
      </c>
      <c r="J645">
        <v>55000</v>
      </c>
      <c r="K645">
        <v>30</v>
      </c>
      <c r="L645" t="s">
        <v>36</v>
      </c>
      <c r="M645" s="97" t="s">
        <v>552</v>
      </c>
    </row>
    <row r="646" spans="1:13" x14ac:dyDescent="0.3">
      <c r="A646">
        <v>27</v>
      </c>
      <c r="B646" t="s">
        <v>13</v>
      </c>
      <c r="C646" t="s">
        <v>84</v>
      </c>
      <c r="D646" t="s">
        <v>15</v>
      </c>
      <c r="E646">
        <v>1</v>
      </c>
      <c r="F646">
        <v>1</v>
      </c>
      <c r="G646" t="s">
        <v>26</v>
      </c>
      <c r="H646" t="s">
        <v>37</v>
      </c>
      <c r="I646">
        <v>45000</v>
      </c>
      <c r="J646">
        <v>45000</v>
      </c>
      <c r="K646">
        <v>30</v>
      </c>
      <c r="L646" t="s">
        <v>36</v>
      </c>
      <c r="M646" s="97" t="s">
        <v>552</v>
      </c>
    </row>
    <row r="647" spans="1:13" x14ac:dyDescent="0.3">
      <c r="A647">
        <v>50</v>
      </c>
      <c r="B647" t="s">
        <v>13</v>
      </c>
      <c r="C647" t="s">
        <v>20</v>
      </c>
      <c r="D647" t="s">
        <v>15</v>
      </c>
      <c r="E647">
        <v>29</v>
      </c>
      <c r="F647">
        <v>2</v>
      </c>
      <c r="G647" t="s">
        <v>24</v>
      </c>
      <c r="H647" t="s">
        <v>37</v>
      </c>
      <c r="I647">
        <v>28800</v>
      </c>
      <c r="J647">
        <v>28800</v>
      </c>
      <c r="K647">
        <v>30</v>
      </c>
      <c r="L647" t="s">
        <v>36</v>
      </c>
      <c r="M647" s="97" t="s">
        <v>552</v>
      </c>
    </row>
    <row r="648" spans="1:13" x14ac:dyDescent="0.3">
      <c r="A648">
        <v>27</v>
      </c>
      <c r="B648" t="s">
        <v>13</v>
      </c>
      <c r="C648" t="s">
        <v>20</v>
      </c>
      <c r="D648" t="s">
        <v>21</v>
      </c>
      <c r="E648">
        <v>7</v>
      </c>
      <c r="F648">
        <v>0</v>
      </c>
      <c r="G648" t="s">
        <v>16</v>
      </c>
      <c r="H648" t="s">
        <v>51</v>
      </c>
      <c r="I648">
        <v>72000</v>
      </c>
      <c r="J648">
        <v>15000</v>
      </c>
      <c r="K648">
        <v>30</v>
      </c>
      <c r="L648" t="s">
        <v>18</v>
      </c>
      <c r="M648" s="97" t="s">
        <v>552</v>
      </c>
    </row>
    <row r="649" spans="1:13" x14ac:dyDescent="0.3">
      <c r="A649">
        <v>24</v>
      </c>
      <c r="B649" t="s">
        <v>33</v>
      </c>
      <c r="C649" t="s">
        <v>59</v>
      </c>
      <c r="D649" t="s">
        <v>15</v>
      </c>
      <c r="E649">
        <v>2</v>
      </c>
      <c r="F649">
        <v>1</v>
      </c>
      <c r="G649" t="s">
        <v>28</v>
      </c>
      <c r="H649" t="s">
        <v>46</v>
      </c>
      <c r="I649">
        <v>55200</v>
      </c>
      <c r="J649">
        <v>2000</v>
      </c>
      <c r="K649">
        <v>30</v>
      </c>
      <c r="L649" t="s">
        <v>18</v>
      </c>
      <c r="M649" s="97" t="s">
        <v>552</v>
      </c>
    </row>
    <row r="650" spans="1:13" x14ac:dyDescent="0.3">
      <c r="A650">
        <v>24</v>
      </c>
      <c r="B650" t="s">
        <v>13</v>
      </c>
      <c r="C650" t="s">
        <v>117</v>
      </c>
      <c r="D650" t="s">
        <v>119</v>
      </c>
      <c r="E650">
        <v>0.8</v>
      </c>
      <c r="F650">
        <v>0.8</v>
      </c>
      <c r="G650" t="s">
        <v>26</v>
      </c>
      <c r="H650" t="s">
        <v>32</v>
      </c>
      <c r="I650">
        <v>48000</v>
      </c>
      <c r="J650">
        <v>101</v>
      </c>
      <c r="K650">
        <v>30</v>
      </c>
      <c r="L650" t="s">
        <v>18</v>
      </c>
      <c r="M650" s="97" t="s">
        <v>552</v>
      </c>
    </row>
    <row r="651" spans="1:13" x14ac:dyDescent="0.3">
      <c r="A651">
        <v>34</v>
      </c>
      <c r="B651" t="s">
        <v>13</v>
      </c>
      <c r="C651" t="s">
        <v>14</v>
      </c>
      <c r="D651" t="s">
        <v>21</v>
      </c>
      <c r="E651">
        <v>13</v>
      </c>
      <c r="F651">
        <v>2</v>
      </c>
      <c r="G651" t="s">
        <v>24</v>
      </c>
      <c r="H651" t="s">
        <v>32</v>
      </c>
      <c r="I651">
        <v>105000</v>
      </c>
      <c r="J651">
        <v>15000</v>
      </c>
      <c r="K651">
        <v>30</v>
      </c>
      <c r="L651" t="s">
        <v>18</v>
      </c>
      <c r="M651" s="97" t="s">
        <v>552</v>
      </c>
    </row>
    <row r="652" spans="1:13" x14ac:dyDescent="0.3">
      <c r="A652">
        <v>36</v>
      </c>
      <c r="B652" t="s">
        <v>33</v>
      </c>
      <c r="C652" t="s">
        <v>20</v>
      </c>
      <c r="D652" t="s">
        <v>52</v>
      </c>
      <c r="E652">
        <v>14</v>
      </c>
      <c r="F652">
        <v>7</v>
      </c>
      <c r="G652" t="s">
        <v>24</v>
      </c>
      <c r="H652" t="s">
        <v>32</v>
      </c>
      <c r="I652">
        <v>69000</v>
      </c>
      <c r="J652">
        <v>6900</v>
      </c>
      <c r="K652">
        <v>30</v>
      </c>
      <c r="L652" t="s">
        <v>18</v>
      </c>
      <c r="M652" s="97" t="s">
        <v>552</v>
      </c>
    </row>
    <row r="653" spans="1:13" x14ac:dyDescent="0.3">
      <c r="A653">
        <v>47</v>
      </c>
      <c r="B653" t="s">
        <v>13</v>
      </c>
      <c r="C653" t="s">
        <v>281</v>
      </c>
      <c r="D653" t="s">
        <v>15</v>
      </c>
      <c r="E653">
        <v>25</v>
      </c>
      <c r="F653">
        <v>15</v>
      </c>
      <c r="G653" t="s">
        <v>282</v>
      </c>
      <c r="H653" t="s">
        <v>32</v>
      </c>
      <c r="I653">
        <v>70000</v>
      </c>
      <c r="K653">
        <v>30</v>
      </c>
      <c r="L653" t="s">
        <v>36</v>
      </c>
      <c r="M653" s="97" t="s">
        <v>552</v>
      </c>
    </row>
    <row r="654" spans="1:13" x14ac:dyDescent="0.3">
      <c r="A654">
        <v>33</v>
      </c>
      <c r="B654" t="s">
        <v>13</v>
      </c>
      <c r="C654" t="s">
        <v>14</v>
      </c>
      <c r="D654" t="s">
        <v>21</v>
      </c>
      <c r="E654">
        <v>10</v>
      </c>
      <c r="F654">
        <v>10</v>
      </c>
      <c r="G654" t="s">
        <v>16</v>
      </c>
      <c r="H654" t="s">
        <v>32</v>
      </c>
      <c r="I654">
        <v>70000</v>
      </c>
      <c r="J654">
        <v>0</v>
      </c>
      <c r="K654">
        <v>30</v>
      </c>
      <c r="L654" t="s">
        <v>18</v>
      </c>
      <c r="M654" s="97" t="s">
        <v>552</v>
      </c>
    </row>
    <row r="655" spans="1:13" x14ac:dyDescent="0.3">
      <c r="A655">
        <v>29</v>
      </c>
      <c r="B655" t="s">
        <v>13</v>
      </c>
      <c r="C655" t="s">
        <v>14</v>
      </c>
      <c r="D655" t="s">
        <v>43</v>
      </c>
      <c r="E655">
        <v>8</v>
      </c>
      <c r="F655">
        <v>0.25</v>
      </c>
      <c r="G655" t="s">
        <v>16</v>
      </c>
      <c r="H655" t="s">
        <v>32</v>
      </c>
      <c r="I655">
        <v>65400</v>
      </c>
      <c r="K655">
        <v>30</v>
      </c>
      <c r="L655" t="s">
        <v>18</v>
      </c>
      <c r="M655" s="97" t="s">
        <v>552</v>
      </c>
    </row>
    <row r="656" spans="1:13" x14ac:dyDescent="0.3">
      <c r="A656">
        <v>35</v>
      </c>
      <c r="B656" t="s">
        <v>13</v>
      </c>
      <c r="C656" t="s">
        <v>70</v>
      </c>
      <c r="D656" t="s">
        <v>25</v>
      </c>
      <c r="E656">
        <v>6</v>
      </c>
      <c r="F656">
        <v>0.5</v>
      </c>
      <c r="G656" t="s">
        <v>16</v>
      </c>
      <c r="H656" t="s">
        <v>55</v>
      </c>
      <c r="I656">
        <v>80000</v>
      </c>
      <c r="J656">
        <v>0</v>
      </c>
      <c r="K656">
        <v>30</v>
      </c>
      <c r="L656" t="s">
        <v>18</v>
      </c>
      <c r="M656" s="97" t="s">
        <v>552</v>
      </c>
    </row>
    <row r="657" spans="1:13" x14ac:dyDescent="0.3">
      <c r="A657">
        <v>36</v>
      </c>
      <c r="B657" t="s">
        <v>13</v>
      </c>
      <c r="C657" t="s">
        <v>160</v>
      </c>
      <c r="D657" t="s">
        <v>27</v>
      </c>
      <c r="E657">
        <v>15</v>
      </c>
      <c r="F657">
        <v>1</v>
      </c>
      <c r="G657" t="s">
        <v>26</v>
      </c>
      <c r="H657" t="s">
        <v>55</v>
      </c>
      <c r="I657">
        <v>52500</v>
      </c>
      <c r="K657">
        <v>30</v>
      </c>
      <c r="L657" t="s">
        <v>18</v>
      </c>
      <c r="M657" s="97" t="s">
        <v>552</v>
      </c>
    </row>
    <row r="658" spans="1:13" x14ac:dyDescent="0.3">
      <c r="A658">
        <v>44</v>
      </c>
      <c r="B658" t="s">
        <v>13</v>
      </c>
      <c r="C658" t="s">
        <v>20</v>
      </c>
      <c r="D658" t="s">
        <v>389</v>
      </c>
      <c r="E658">
        <v>15</v>
      </c>
      <c r="F658">
        <v>5</v>
      </c>
      <c r="G658" t="s">
        <v>24</v>
      </c>
      <c r="H658" t="s">
        <v>55</v>
      </c>
      <c r="I658">
        <v>72000</v>
      </c>
      <c r="K658">
        <v>30</v>
      </c>
      <c r="L658" t="s">
        <v>18</v>
      </c>
      <c r="M658" s="97" t="s">
        <v>552</v>
      </c>
    </row>
    <row r="659" spans="1:13" x14ac:dyDescent="0.3">
      <c r="A659">
        <v>30</v>
      </c>
      <c r="B659" t="s">
        <v>13</v>
      </c>
      <c r="C659" t="s">
        <v>20</v>
      </c>
      <c r="D659" t="s">
        <v>15</v>
      </c>
      <c r="E659">
        <v>11</v>
      </c>
      <c r="F659">
        <v>2</v>
      </c>
      <c r="G659" t="s">
        <v>16</v>
      </c>
      <c r="H659" t="s">
        <v>40</v>
      </c>
      <c r="I659">
        <v>55000</v>
      </c>
      <c r="K659">
        <v>30</v>
      </c>
      <c r="L659" t="s">
        <v>18</v>
      </c>
      <c r="M659" s="97" t="s">
        <v>552</v>
      </c>
    </row>
    <row r="660" spans="1:13" x14ac:dyDescent="0.3">
      <c r="A660">
        <v>40</v>
      </c>
      <c r="B660" t="s">
        <v>13</v>
      </c>
      <c r="C660" t="s">
        <v>232</v>
      </c>
      <c r="D660" t="s">
        <v>41</v>
      </c>
      <c r="E660">
        <v>17</v>
      </c>
      <c r="F660">
        <v>9</v>
      </c>
      <c r="G660" t="s">
        <v>24</v>
      </c>
      <c r="H660" t="s">
        <v>176</v>
      </c>
      <c r="I660">
        <v>81000</v>
      </c>
      <c r="J660">
        <v>7000</v>
      </c>
      <c r="K660">
        <v>30</v>
      </c>
      <c r="L660" t="s">
        <v>36</v>
      </c>
      <c r="M660" s="97" t="s">
        <v>552</v>
      </c>
    </row>
    <row r="661" spans="1:13" x14ac:dyDescent="0.3">
      <c r="A661">
        <v>29</v>
      </c>
      <c r="B661" t="s">
        <v>13</v>
      </c>
      <c r="C661" t="s">
        <v>20</v>
      </c>
      <c r="D661" t="s">
        <v>15</v>
      </c>
      <c r="E661">
        <v>5</v>
      </c>
      <c r="F661">
        <v>1.5</v>
      </c>
      <c r="G661" t="s">
        <v>28</v>
      </c>
      <c r="H661" t="s">
        <v>31</v>
      </c>
      <c r="I661">
        <v>56000</v>
      </c>
      <c r="K661">
        <v>30</v>
      </c>
      <c r="L661" t="s">
        <v>18</v>
      </c>
      <c r="M661" s="97" t="s">
        <v>552</v>
      </c>
    </row>
    <row r="662" spans="1:13" x14ac:dyDescent="0.3">
      <c r="A662">
        <v>32</v>
      </c>
      <c r="B662" t="s">
        <v>13</v>
      </c>
      <c r="C662" t="s">
        <v>20</v>
      </c>
      <c r="D662" t="s">
        <v>21</v>
      </c>
      <c r="E662">
        <v>8</v>
      </c>
      <c r="F662">
        <v>5</v>
      </c>
      <c r="G662" t="s">
        <v>16</v>
      </c>
      <c r="H662" t="s">
        <v>31</v>
      </c>
      <c r="I662">
        <v>65000</v>
      </c>
      <c r="K662">
        <v>30</v>
      </c>
      <c r="L662" t="s">
        <v>18</v>
      </c>
      <c r="M662" s="97" t="s">
        <v>552</v>
      </c>
    </row>
    <row r="663" spans="1:13" x14ac:dyDescent="0.3">
      <c r="A663">
        <v>29</v>
      </c>
      <c r="B663" t="s">
        <v>13</v>
      </c>
      <c r="C663" t="s">
        <v>174</v>
      </c>
      <c r="D663" t="s">
        <v>27</v>
      </c>
      <c r="E663">
        <v>6</v>
      </c>
      <c r="F663">
        <v>5</v>
      </c>
      <c r="G663" t="s">
        <v>16</v>
      </c>
      <c r="H663" t="s">
        <v>31</v>
      </c>
      <c r="I663">
        <v>64800</v>
      </c>
      <c r="J663">
        <v>9450</v>
      </c>
      <c r="K663">
        <v>30</v>
      </c>
      <c r="L663" t="s">
        <v>18</v>
      </c>
      <c r="M663" s="97" t="s">
        <v>552</v>
      </c>
    </row>
    <row r="664" spans="1:13" x14ac:dyDescent="0.3">
      <c r="A664">
        <v>30</v>
      </c>
      <c r="B664" t="s">
        <v>33</v>
      </c>
      <c r="C664" t="s">
        <v>20</v>
      </c>
      <c r="D664" t="s">
        <v>81</v>
      </c>
      <c r="E664">
        <v>5</v>
      </c>
      <c r="F664">
        <v>1.5</v>
      </c>
      <c r="G664" t="s">
        <v>28</v>
      </c>
      <c r="H664" t="s">
        <v>50</v>
      </c>
      <c r="I664">
        <v>51000</v>
      </c>
      <c r="K664">
        <v>30</v>
      </c>
      <c r="L664" t="s">
        <v>18</v>
      </c>
      <c r="M664" s="97" t="s">
        <v>552</v>
      </c>
    </row>
    <row r="665" spans="1:13" x14ac:dyDescent="0.3">
      <c r="A665">
        <v>37</v>
      </c>
      <c r="B665" t="s">
        <v>13</v>
      </c>
      <c r="C665" t="s">
        <v>20</v>
      </c>
      <c r="D665" t="s">
        <v>45</v>
      </c>
      <c r="E665">
        <v>12</v>
      </c>
      <c r="F665">
        <v>10</v>
      </c>
      <c r="G665" t="s">
        <v>62</v>
      </c>
      <c r="H665" t="s">
        <v>50</v>
      </c>
      <c r="I665">
        <v>90000</v>
      </c>
      <c r="K665">
        <v>30</v>
      </c>
      <c r="L665" t="s">
        <v>18</v>
      </c>
      <c r="M665" s="97" t="s">
        <v>552</v>
      </c>
    </row>
    <row r="666" spans="1:13" x14ac:dyDescent="0.3">
      <c r="A666">
        <v>28</v>
      </c>
      <c r="B666" t="s">
        <v>13</v>
      </c>
      <c r="C666" t="s">
        <v>20</v>
      </c>
      <c r="D666" t="s">
        <v>81</v>
      </c>
      <c r="E666">
        <v>0</v>
      </c>
      <c r="F666">
        <v>1</v>
      </c>
      <c r="G666" t="s">
        <v>26</v>
      </c>
      <c r="H666" t="s">
        <v>50</v>
      </c>
      <c r="I666">
        <v>48000</v>
      </c>
      <c r="K666">
        <v>30</v>
      </c>
      <c r="L666" t="s">
        <v>18</v>
      </c>
      <c r="M666" s="97" t="s">
        <v>552</v>
      </c>
    </row>
    <row r="667" spans="1:13" x14ac:dyDescent="0.3">
      <c r="A667">
        <v>31</v>
      </c>
      <c r="B667" t="s">
        <v>13</v>
      </c>
      <c r="C667" t="s">
        <v>199</v>
      </c>
      <c r="D667" t="s">
        <v>53</v>
      </c>
      <c r="E667">
        <v>10</v>
      </c>
      <c r="F667">
        <v>0</v>
      </c>
      <c r="G667" t="s">
        <v>24</v>
      </c>
      <c r="H667" t="s">
        <v>50</v>
      </c>
      <c r="I667">
        <v>100000</v>
      </c>
      <c r="J667">
        <v>20000</v>
      </c>
      <c r="K667">
        <v>30</v>
      </c>
      <c r="L667" t="s">
        <v>18</v>
      </c>
      <c r="M667" s="97" t="s">
        <v>552</v>
      </c>
    </row>
    <row r="668" spans="1:13" x14ac:dyDescent="0.3">
      <c r="A668">
        <v>34</v>
      </c>
      <c r="B668" t="s">
        <v>13</v>
      </c>
      <c r="C668" t="s">
        <v>14</v>
      </c>
      <c r="D668" t="s">
        <v>15</v>
      </c>
      <c r="E668">
        <v>12</v>
      </c>
      <c r="F668">
        <v>5</v>
      </c>
      <c r="G668" t="s">
        <v>24</v>
      </c>
      <c r="H668" t="s">
        <v>50</v>
      </c>
      <c r="I668">
        <v>95000</v>
      </c>
      <c r="K668">
        <v>30</v>
      </c>
      <c r="L668" t="s">
        <v>18</v>
      </c>
      <c r="M668" s="97" t="s">
        <v>552</v>
      </c>
    </row>
    <row r="669" spans="1:13" x14ac:dyDescent="0.3">
      <c r="A669">
        <v>29</v>
      </c>
      <c r="B669" t="s">
        <v>13</v>
      </c>
      <c r="C669" t="s">
        <v>14</v>
      </c>
      <c r="D669" t="s">
        <v>53</v>
      </c>
      <c r="E669">
        <v>4</v>
      </c>
      <c r="F669">
        <v>4</v>
      </c>
      <c r="G669" t="s">
        <v>28</v>
      </c>
      <c r="H669" t="s">
        <v>50</v>
      </c>
      <c r="I669">
        <v>61500</v>
      </c>
      <c r="J669">
        <v>66500</v>
      </c>
      <c r="K669">
        <v>30</v>
      </c>
      <c r="L669" t="s">
        <v>18</v>
      </c>
      <c r="M669" s="97" t="s">
        <v>552</v>
      </c>
    </row>
    <row r="670" spans="1:13" x14ac:dyDescent="0.3">
      <c r="A670">
        <v>30</v>
      </c>
      <c r="B670" t="s">
        <v>13</v>
      </c>
      <c r="C670" t="s">
        <v>14</v>
      </c>
      <c r="D670" t="s">
        <v>53</v>
      </c>
      <c r="E670">
        <v>2</v>
      </c>
      <c r="F670">
        <v>2</v>
      </c>
      <c r="G670" t="s">
        <v>28</v>
      </c>
      <c r="H670" t="s">
        <v>50</v>
      </c>
      <c r="I670">
        <v>50000</v>
      </c>
      <c r="J670">
        <v>5000</v>
      </c>
      <c r="K670">
        <v>30</v>
      </c>
      <c r="L670" t="s">
        <v>18</v>
      </c>
      <c r="M670" s="97" t="s">
        <v>552</v>
      </c>
    </row>
    <row r="671" spans="1:13" x14ac:dyDescent="0.3">
      <c r="A671">
        <v>30</v>
      </c>
      <c r="B671" t="s">
        <v>13</v>
      </c>
      <c r="C671" t="s">
        <v>70</v>
      </c>
      <c r="D671" t="s">
        <v>53</v>
      </c>
      <c r="E671">
        <v>5</v>
      </c>
      <c r="F671">
        <v>4</v>
      </c>
      <c r="G671" t="s">
        <v>28</v>
      </c>
      <c r="H671" t="s">
        <v>50</v>
      </c>
      <c r="I671">
        <v>52500</v>
      </c>
      <c r="J671">
        <v>0</v>
      </c>
      <c r="K671">
        <v>30</v>
      </c>
      <c r="L671" t="s">
        <v>18</v>
      </c>
      <c r="M671" s="97" t="s">
        <v>552</v>
      </c>
    </row>
    <row r="672" spans="1:13" x14ac:dyDescent="0.3">
      <c r="A672">
        <v>36</v>
      </c>
      <c r="B672" t="s">
        <v>13</v>
      </c>
      <c r="C672" t="s">
        <v>34</v>
      </c>
      <c r="D672" t="s">
        <v>53</v>
      </c>
      <c r="E672">
        <v>2</v>
      </c>
      <c r="F672">
        <v>10</v>
      </c>
      <c r="G672" t="s">
        <v>28</v>
      </c>
      <c r="H672" t="s">
        <v>50</v>
      </c>
      <c r="I672">
        <v>63000</v>
      </c>
      <c r="K672">
        <v>30</v>
      </c>
      <c r="L672" t="s">
        <v>18</v>
      </c>
      <c r="M672" s="97" t="s">
        <v>552</v>
      </c>
    </row>
    <row r="673" spans="1:13" x14ac:dyDescent="0.3">
      <c r="A673">
        <v>27</v>
      </c>
      <c r="B673" t="s">
        <v>13</v>
      </c>
      <c r="C673" t="s">
        <v>14</v>
      </c>
      <c r="D673" t="s">
        <v>35</v>
      </c>
      <c r="E673">
        <v>2</v>
      </c>
      <c r="F673">
        <v>0</v>
      </c>
      <c r="G673" t="s">
        <v>26</v>
      </c>
      <c r="H673" t="s">
        <v>50</v>
      </c>
      <c r="I673">
        <v>49000</v>
      </c>
      <c r="J673">
        <v>5000</v>
      </c>
      <c r="K673">
        <v>30</v>
      </c>
      <c r="L673" t="s">
        <v>36</v>
      </c>
      <c r="M673" s="97" t="s">
        <v>552</v>
      </c>
    </row>
    <row r="674" spans="1:13" x14ac:dyDescent="0.3">
      <c r="A674">
        <v>31</v>
      </c>
      <c r="B674" t="s">
        <v>13</v>
      </c>
      <c r="C674" t="s">
        <v>34</v>
      </c>
      <c r="D674" t="s">
        <v>81</v>
      </c>
      <c r="E674">
        <v>3</v>
      </c>
      <c r="F674">
        <v>3</v>
      </c>
      <c r="G674" t="s">
        <v>24</v>
      </c>
      <c r="H674" t="s">
        <v>50</v>
      </c>
      <c r="I674">
        <v>70000</v>
      </c>
      <c r="J674">
        <v>0</v>
      </c>
      <c r="K674">
        <v>30</v>
      </c>
      <c r="L674" t="s">
        <v>18</v>
      </c>
      <c r="M674" s="97" t="s">
        <v>552</v>
      </c>
    </row>
    <row r="675" spans="1:13" x14ac:dyDescent="0.3">
      <c r="A675">
        <v>32</v>
      </c>
      <c r="B675" t="s">
        <v>13</v>
      </c>
      <c r="C675" t="s">
        <v>20</v>
      </c>
      <c r="D675" t="s">
        <v>21</v>
      </c>
      <c r="E675">
        <v>5</v>
      </c>
      <c r="F675">
        <v>3</v>
      </c>
      <c r="G675" t="s">
        <v>28</v>
      </c>
      <c r="H675" t="s">
        <v>22</v>
      </c>
      <c r="I675">
        <v>72000</v>
      </c>
      <c r="K675">
        <v>30</v>
      </c>
      <c r="L675" t="s">
        <v>18</v>
      </c>
      <c r="M675" s="97" t="s">
        <v>552</v>
      </c>
    </row>
    <row r="676" spans="1:13" x14ac:dyDescent="0.3">
      <c r="A676">
        <v>33</v>
      </c>
      <c r="B676" t="s">
        <v>13</v>
      </c>
      <c r="C676" t="s">
        <v>14</v>
      </c>
      <c r="D676" t="s">
        <v>21</v>
      </c>
      <c r="E676">
        <v>15</v>
      </c>
      <c r="F676">
        <v>3</v>
      </c>
      <c r="G676" t="s">
        <v>24</v>
      </c>
      <c r="H676" t="s">
        <v>71</v>
      </c>
      <c r="I676">
        <v>100000</v>
      </c>
      <c r="J676">
        <v>10000</v>
      </c>
      <c r="K676">
        <v>30</v>
      </c>
      <c r="L676" t="s">
        <v>18</v>
      </c>
      <c r="M676" s="97" t="s">
        <v>552</v>
      </c>
    </row>
    <row r="677" spans="1:13" x14ac:dyDescent="0.3">
      <c r="A677">
        <v>35</v>
      </c>
      <c r="B677" t="s">
        <v>13</v>
      </c>
      <c r="C677" t="s">
        <v>20</v>
      </c>
      <c r="D677" t="s">
        <v>81</v>
      </c>
      <c r="E677">
        <v>10</v>
      </c>
      <c r="F677">
        <v>2</v>
      </c>
      <c r="G677" t="s">
        <v>24</v>
      </c>
      <c r="H677" t="s">
        <v>71</v>
      </c>
      <c r="I677">
        <v>96000</v>
      </c>
      <c r="J677">
        <v>4000</v>
      </c>
      <c r="K677">
        <v>30</v>
      </c>
      <c r="L677" t="s">
        <v>18</v>
      </c>
      <c r="M677" s="97" t="s">
        <v>552</v>
      </c>
    </row>
    <row r="678" spans="1:13" x14ac:dyDescent="0.3">
      <c r="A678">
        <v>26</v>
      </c>
      <c r="B678" t="s">
        <v>13</v>
      </c>
      <c r="C678" t="s">
        <v>20</v>
      </c>
      <c r="D678" t="s">
        <v>35</v>
      </c>
      <c r="E678">
        <v>4</v>
      </c>
      <c r="F678">
        <v>3</v>
      </c>
      <c r="G678" t="s">
        <v>28</v>
      </c>
      <c r="H678" t="s">
        <v>71</v>
      </c>
      <c r="I678">
        <v>51000</v>
      </c>
      <c r="K678">
        <v>30</v>
      </c>
      <c r="L678" t="s">
        <v>18</v>
      </c>
      <c r="M678" s="97" t="s">
        <v>552</v>
      </c>
    </row>
    <row r="679" spans="1:13" x14ac:dyDescent="0.3">
      <c r="A679">
        <v>29</v>
      </c>
      <c r="B679" t="s">
        <v>13</v>
      </c>
      <c r="C679" t="s">
        <v>20</v>
      </c>
      <c r="D679" t="s">
        <v>21</v>
      </c>
      <c r="E679">
        <v>10</v>
      </c>
      <c r="F679">
        <v>5</v>
      </c>
      <c r="G679" t="s">
        <v>16</v>
      </c>
      <c r="H679" t="s">
        <v>71</v>
      </c>
      <c r="I679">
        <v>78000</v>
      </c>
      <c r="J679">
        <v>2000</v>
      </c>
      <c r="K679">
        <v>30</v>
      </c>
      <c r="L679" t="s">
        <v>18</v>
      </c>
      <c r="M679" s="97" t="s">
        <v>552</v>
      </c>
    </row>
    <row r="680" spans="1:13" x14ac:dyDescent="0.3">
      <c r="A680">
        <v>25</v>
      </c>
      <c r="B680" t="s">
        <v>13</v>
      </c>
      <c r="C680" t="s">
        <v>20</v>
      </c>
      <c r="D680" t="s">
        <v>81</v>
      </c>
      <c r="E680">
        <v>4.5</v>
      </c>
      <c r="F680">
        <v>2</v>
      </c>
      <c r="G680" t="s">
        <v>28</v>
      </c>
      <c r="H680" t="s">
        <v>284</v>
      </c>
      <c r="I680">
        <v>75000</v>
      </c>
      <c r="J680">
        <v>15000</v>
      </c>
      <c r="K680">
        <v>30</v>
      </c>
      <c r="L680" t="s">
        <v>18</v>
      </c>
      <c r="M680" s="97" t="s">
        <v>552</v>
      </c>
    </row>
    <row r="681" spans="1:13" x14ac:dyDescent="0.3">
      <c r="A681">
        <v>35</v>
      </c>
      <c r="B681" t="s">
        <v>13</v>
      </c>
      <c r="C681" t="s">
        <v>14</v>
      </c>
      <c r="D681" t="s">
        <v>15</v>
      </c>
      <c r="E681">
        <v>15</v>
      </c>
      <c r="F681">
        <v>5</v>
      </c>
      <c r="G681" t="s">
        <v>62</v>
      </c>
      <c r="H681" t="s">
        <v>42</v>
      </c>
      <c r="I681">
        <v>100000</v>
      </c>
      <c r="K681">
        <v>30</v>
      </c>
      <c r="L681" t="s">
        <v>18</v>
      </c>
      <c r="M681" s="97" t="s">
        <v>552</v>
      </c>
    </row>
    <row r="682" spans="1:13" x14ac:dyDescent="0.3">
      <c r="A682">
        <v>40</v>
      </c>
      <c r="B682" t="s">
        <v>13</v>
      </c>
      <c r="C682" t="s">
        <v>14</v>
      </c>
      <c r="D682" t="s">
        <v>43</v>
      </c>
      <c r="E682">
        <v>25</v>
      </c>
      <c r="F682">
        <v>2</v>
      </c>
      <c r="G682" t="s">
        <v>24</v>
      </c>
      <c r="H682" t="s">
        <v>80</v>
      </c>
      <c r="I682">
        <v>85000</v>
      </c>
      <c r="J682">
        <v>5000</v>
      </c>
      <c r="K682">
        <v>30</v>
      </c>
      <c r="L682" t="s">
        <v>18</v>
      </c>
      <c r="M682" s="97" t="s">
        <v>552</v>
      </c>
    </row>
    <row r="683" spans="1:13" x14ac:dyDescent="0.3">
      <c r="A683">
        <v>29</v>
      </c>
      <c r="B683" t="s">
        <v>13</v>
      </c>
      <c r="C683" t="s">
        <v>121</v>
      </c>
      <c r="D683" t="s">
        <v>25</v>
      </c>
      <c r="E683">
        <v>6</v>
      </c>
      <c r="F683">
        <v>6</v>
      </c>
      <c r="G683" t="s">
        <v>28</v>
      </c>
      <c r="H683" t="s">
        <v>17</v>
      </c>
      <c r="I683">
        <v>55000</v>
      </c>
      <c r="J683">
        <v>0</v>
      </c>
      <c r="K683">
        <v>30</v>
      </c>
      <c r="L683" t="s">
        <v>36</v>
      </c>
      <c r="M683" s="97" t="s">
        <v>552</v>
      </c>
    </row>
    <row r="684" spans="1:13" x14ac:dyDescent="0.3">
      <c r="A684">
        <v>31</v>
      </c>
      <c r="B684" t="s">
        <v>13</v>
      </c>
      <c r="C684" t="s">
        <v>20</v>
      </c>
      <c r="D684" t="s">
        <v>25</v>
      </c>
      <c r="E684">
        <v>8</v>
      </c>
      <c r="F684">
        <v>3.5</v>
      </c>
      <c r="G684" t="s">
        <v>16</v>
      </c>
      <c r="H684" t="s">
        <v>17</v>
      </c>
      <c r="I684">
        <v>60000</v>
      </c>
      <c r="J684">
        <v>0</v>
      </c>
      <c r="K684">
        <v>30</v>
      </c>
      <c r="L684" t="s">
        <v>18</v>
      </c>
      <c r="M684" s="97" t="s">
        <v>552</v>
      </c>
    </row>
    <row r="685" spans="1:13" x14ac:dyDescent="0.3">
      <c r="A685">
        <v>26</v>
      </c>
      <c r="B685" t="s">
        <v>13</v>
      </c>
      <c r="C685" t="s">
        <v>14</v>
      </c>
      <c r="D685" t="s">
        <v>15</v>
      </c>
      <c r="E685">
        <v>6</v>
      </c>
      <c r="F685">
        <v>2</v>
      </c>
      <c r="G685" t="s">
        <v>16</v>
      </c>
      <c r="H685" t="s">
        <v>17</v>
      </c>
      <c r="I685">
        <v>93000</v>
      </c>
      <c r="J685">
        <v>10000</v>
      </c>
      <c r="K685">
        <v>30</v>
      </c>
      <c r="L685" t="s">
        <v>18</v>
      </c>
      <c r="M685" s="97" t="s">
        <v>552</v>
      </c>
    </row>
    <row r="686" spans="1:13" x14ac:dyDescent="0.3">
      <c r="A686">
        <v>31</v>
      </c>
      <c r="B686" t="s">
        <v>13</v>
      </c>
      <c r="C686" t="s">
        <v>298</v>
      </c>
      <c r="D686" t="s">
        <v>25</v>
      </c>
      <c r="E686">
        <v>6</v>
      </c>
      <c r="F686">
        <v>0</v>
      </c>
      <c r="G686" t="s">
        <v>16</v>
      </c>
      <c r="H686" t="s">
        <v>17</v>
      </c>
      <c r="I686">
        <v>110000</v>
      </c>
      <c r="K686">
        <v>30</v>
      </c>
      <c r="L686" t="s">
        <v>18</v>
      </c>
      <c r="M686" s="97" t="s">
        <v>552</v>
      </c>
    </row>
    <row r="687" spans="1:13" x14ac:dyDescent="0.3">
      <c r="A687">
        <v>30</v>
      </c>
      <c r="B687" t="s">
        <v>13</v>
      </c>
      <c r="C687" t="s">
        <v>20</v>
      </c>
      <c r="D687" t="s">
        <v>41</v>
      </c>
      <c r="E687">
        <v>3</v>
      </c>
      <c r="F687">
        <v>3</v>
      </c>
      <c r="G687" t="s">
        <v>26</v>
      </c>
      <c r="I687">
        <v>30000</v>
      </c>
      <c r="K687">
        <v>30</v>
      </c>
      <c r="L687" t="s">
        <v>18</v>
      </c>
      <c r="M687" s="97" t="s">
        <v>552</v>
      </c>
    </row>
    <row r="688" spans="1:13" x14ac:dyDescent="0.3">
      <c r="A688">
        <v>30</v>
      </c>
      <c r="B688" t="s">
        <v>13</v>
      </c>
      <c r="C688" t="s">
        <v>20</v>
      </c>
      <c r="D688" t="s">
        <v>41</v>
      </c>
      <c r="E688">
        <v>3</v>
      </c>
      <c r="F688">
        <v>3</v>
      </c>
      <c r="G688" t="s">
        <v>26</v>
      </c>
      <c r="I688">
        <v>30000</v>
      </c>
      <c r="K688">
        <v>30</v>
      </c>
      <c r="L688" t="s">
        <v>18</v>
      </c>
      <c r="M688" s="97" t="s">
        <v>552</v>
      </c>
    </row>
    <row r="689" spans="1:13" x14ac:dyDescent="0.3">
      <c r="A689">
        <v>30</v>
      </c>
      <c r="B689" t="s">
        <v>33</v>
      </c>
      <c r="C689" t="s">
        <v>174</v>
      </c>
      <c r="D689" t="s">
        <v>41</v>
      </c>
      <c r="E689">
        <v>8</v>
      </c>
      <c r="F689">
        <v>0</v>
      </c>
      <c r="G689" t="s">
        <v>28</v>
      </c>
      <c r="I689">
        <v>57760</v>
      </c>
      <c r="J689">
        <v>6710</v>
      </c>
      <c r="K689">
        <v>30</v>
      </c>
      <c r="L689" t="s">
        <v>18</v>
      </c>
      <c r="M689" s="97" t="s">
        <v>552</v>
      </c>
    </row>
    <row r="690" spans="1:13" x14ac:dyDescent="0.3">
      <c r="A690">
        <v>38</v>
      </c>
      <c r="B690" t="s">
        <v>13</v>
      </c>
      <c r="C690" t="s">
        <v>177</v>
      </c>
      <c r="D690" t="s">
        <v>52</v>
      </c>
      <c r="E690">
        <v>7</v>
      </c>
      <c r="F690">
        <v>2</v>
      </c>
      <c r="G690" t="s">
        <v>28</v>
      </c>
      <c r="I690">
        <v>54500</v>
      </c>
      <c r="K690">
        <v>30</v>
      </c>
      <c r="L690" t="s">
        <v>36</v>
      </c>
      <c r="M690" s="97" t="s">
        <v>552</v>
      </c>
    </row>
    <row r="691" spans="1:13" x14ac:dyDescent="0.3">
      <c r="A691">
        <v>24</v>
      </c>
      <c r="B691" t="s">
        <v>33</v>
      </c>
      <c r="C691" t="s">
        <v>20</v>
      </c>
      <c r="D691" t="s">
        <v>15</v>
      </c>
      <c r="E691">
        <v>2</v>
      </c>
      <c r="F691">
        <v>2</v>
      </c>
      <c r="G691" t="s">
        <v>28</v>
      </c>
      <c r="I691">
        <v>58000</v>
      </c>
      <c r="K691">
        <v>30</v>
      </c>
      <c r="L691" t="s">
        <v>36</v>
      </c>
      <c r="M691" s="97" t="s">
        <v>552</v>
      </c>
    </row>
    <row r="692" spans="1:13" x14ac:dyDescent="0.3">
      <c r="A692">
        <v>26</v>
      </c>
      <c r="B692" t="s">
        <v>13</v>
      </c>
      <c r="C692" t="s">
        <v>174</v>
      </c>
      <c r="D692" t="s">
        <v>15</v>
      </c>
      <c r="E692">
        <v>5</v>
      </c>
      <c r="F692">
        <v>5</v>
      </c>
      <c r="I692">
        <v>55000</v>
      </c>
      <c r="J692">
        <v>0</v>
      </c>
      <c r="K692">
        <v>30</v>
      </c>
      <c r="L692" t="s">
        <v>175</v>
      </c>
      <c r="M692" s="97" t="s">
        <v>552</v>
      </c>
    </row>
    <row r="693" spans="1:13" x14ac:dyDescent="0.3">
      <c r="A693">
        <v>28</v>
      </c>
      <c r="B693" t="s">
        <v>13</v>
      </c>
      <c r="C693" t="s">
        <v>14</v>
      </c>
      <c r="D693" t="s">
        <v>15</v>
      </c>
      <c r="E693">
        <v>3</v>
      </c>
      <c r="F693">
        <v>3</v>
      </c>
      <c r="G693" t="s">
        <v>26</v>
      </c>
      <c r="H693" t="s">
        <v>58</v>
      </c>
      <c r="I693">
        <v>65000</v>
      </c>
      <c r="J693">
        <v>13000</v>
      </c>
      <c r="K693">
        <v>30</v>
      </c>
      <c r="L693" t="s">
        <v>18</v>
      </c>
      <c r="M693" t="s">
        <v>30</v>
      </c>
    </row>
    <row r="694" spans="1:13" x14ac:dyDescent="0.3">
      <c r="B694" t="s">
        <v>13</v>
      </c>
      <c r="C694" t="s">
        <v>20</v>
      </c>
      <c r="D694" t="s">
        <v>15</v>
      </c>
      <c r="E694">
        <v>10</v>
      </c>
      <c r="F694">
        <v>10</v>
      </c>
      <c r="G694" t="s">
        <v>16</v>
      </c>
      <c r="H694" t="s">
        <v>58</v>
      </c>
      <c r="I694">
        <v>62000</v>
      </c>
      <c r="K694">
        <v>30</v>
      </c>
      <c r="L694" t="s">
        <v>36</v>
      </c>
      <c r="M694" t="s">
        <v>30</v>
      </c>
    </row>
    <row r="695" spans="1:13" x14ac:dyDescent="0.3">
      <c r="A695">
        <v>32</v>
      </c>
      <c r="B695" t="s">
        <v>13</v>
      </c>
      <c r="C695" t="s">
        <v>121</v>
      </c>
      <c r="D695" t="s">
        <v>15</v>
      </c>
      <c r="E695">
        <v>11</v>
      </c>
      <c r="F695">
        <v>7</v>
      </c>
      <c r="G695" t="s">
        <v>16</v>
      </c>
      <c r="H695" t="s">
        <v>58</v>
      </c>
      <c r="I695">
        <v>60000</v>
      </c>
      <c r="J695">
        <v>62000</v>
      </c>
      <c r="K695">
        <v>30</v>
      </c>
      <c r="L695" t="s">
        <v>18</v>
      </c>
      <c r="M695" t="s">
        <v>30</v>
      </c>
    </row>
    <row r="696" spans="1:13" x14ac:dyDescent="0.3">
      <c r="A696">
        <v>30</v>
      </c>
      <c r="B696" t="s">
        <v>13</v>
      </c>
      <c r="C696" t="s">
        <v>14</v>
      </c>
      <c r="D696" t="s">
        <v>15</v>
      </c>
      <c r="E696">
        <v>10</v>
      </c>
      <c r="F696">
        <v>4</v>
      </c>
      <c r="G696" t="s">
        <v>16</v>
      </c>
      <c r="H696" t="s">
        <v>58</v>
      </c>
      <c r="I696">
        <v>75000</v>
      </c>
      <c r="J696">
        <v>5000</v>
      </c>
      <c r="K696">
        <v>30</v>
      </c>
      <c r="L696" t="s">
        <v>18</v>
      </c>
      <c r="M696" t="s">
        <v>30</v>
      </c>
    </row>
    <row r="697" spans="1:13" x14ac:dyDescent="0.3">
      <c r="A697">
        <v>30</v>
      </c>
      <c r="B697" t="s">
        <v>13</v>
      </c>
      <c r="C697" t="s">
        <v>172</v>
      </c>
      <c r="D697" t="s">
        <v>15</v>
      </c>
      <c r="E697">
        <v>9</v>
      </c>
      <c r="F697">
        <v>4</v>
      </c>
      <c r="G697" t="s">
        <v>16</v>
      </c>
      <c r="H697" t="s">
        <v>58</v>
      </c>
      <c r="I697">
        <v>60000</v>
      </c>
      <c r="J697">
        <v>2000</v>
      </c>
      <c r="K697">
        <v>30</v>
      </c>
      <c r="L697" t="s">
        <v>18</v>
      </c>
      <c r="M697" t="s">
        <v>30</v>
      </c>
    </row>
    <row r="698" spans="1:13" x14ac:dyDescent="0.3">
      <c r="A698">
        <v>30</v>
      </c>
      <c r="B698" t="s">
        <v>13</v>
      </c>
      <c r="C698" t="s">
        <v>172</v>
      </c>
      <c r="D698" t="s">
        <v>15</v>
      </c>
      <c r="E698">
        <v>9</v>
      </c>
      <c r="F698">
        <v>4</v>
      </c>
      <c r="G698" t="s">
        <v>16</v>
      </c>
      <c r="H698" t="s">
        <v>58</v>
      </c>
      <c r="I698">
        <v>60000</v>
      </c>
      <c r="J698">
        <v>2000</v>
      </c>
      <c r="K698">
        <v>30</v>
      </c>
      <c r="L698" t="s">
        <v>18</v>
      </c>
      <c r="M698" t="s">
        <v>30</v>
      </c>
    </row>
    <row r="699" spans="1:13" x14ac:dyDescent="0.3">
      <c r="A699">
        <v>32</v>
      </c>
      <c r="B699" t="s">
        <v>13</v>
      </c>
      <c r="C699" t="s">
        <v>14</v>
      </c>
      <c r="D699" t="s">
        <v>165</v>
      </c>
      <c r="E699">
        <v>9</v>
      </c>
      <c r="F699">
        <v>1</v>
      </c>
      <c r="G699" t="s">
        <v>16</v>
      </c>
      <c r="H699" t="s">
        <v>166</v>
      </c>
      <c r="I699">
        <v>70800</v>
      </c>
      <c r="J699">
        <v>5000</v>
      </c>
      <c r="K699">
        <v>30</v>
      </c>
      <c r="L699" t="s">
        <v>36</v>
      </c>
      <c r="M699" t="s">
        <v>30</v>
      </c>
    </row>
    <row r="700" spans="1:13" x14ac:dyDescent="0.3">
      <c r="A700">
        <v>37</v>
      </c>
      <c r="B700" t="s">
        <v>13</v>
      </c>
      <c r="C700" t="s">
        <v>172</v>
      </c>
      <c r="D700" t="s">
        <v>15</v>
      </c>
      <c r="E700">
        <v>15</v>
      </c>
      <c r="F700">
        <v>7</v>
      </c>
      <c r="G700" t="s">
        <v>16</v>
      </c>
      <c r="H700" t="s">
        <v>166</v>
      </c>
      <c r="I700">
        <v>67500</v>
      </c>
      <c r="J700">
        <v>7500</v>
      </c>
      <c r="K700">
        <v>30</v>
      </c>
      <c r="L700" t="s">
        <v>18</v>
      </c>
      <c r="M700" t="s">
        <v>30</v>
      </c>
    </row>
    <row r="701" spans="1:13" x14ac:dyDescent="0.3">
      <c r="A701">
        <v>46</v>
      </c>
      <c r="B701" t="s">
        <v>13</v>
      </c>
      <c r="C701" t="s">
        <v>14</v>
      </c>
      <c r="D701" t="s">
        <v>107</v>
      </c>
      <c r="E701">
        <v>12</v>
      </c>
      <c r="F701">
        <v>8</v>
      </c>
      <c r="G701" t="s">
        <v>16</v>
      </c>
      <c r="H701" t="s">
        <v>108</v>
      </c>
      <c r="I701">
        <v>85000</v>
      </c>
      <c r="J701">
        <v>10000</v>
      </c>
      <c r="K701">
        <v>30</v>
      </c>
      <c r="L701" t="s">
        <v>36</v>
      </c>
      <c r="M701" t="s">
        <v>30</v>
      </c>
    </row>
    <row r="702" spans="1:13" x14ac:dyDescent="0.3">
      <c r="A702">
        <v>25</v>
      </c>
      <c r="B702" t="s">
        <v>33</v>
      </c>
      <c r="C702" t="s">
        <v>14</v>
      </c>
      <c r="D702" t="s">
        <v>81</v>
      </c>
      <c r="E702">
        <v>1</v>
      </c>
      <c r="F702">
        <v>1</v>
      </c>
      <c r="G702" t="s">
        <v>26</v>
      </c>
      <c r="H702" t="s">
        <v>310</v>
      </c>
      <c r="I702">
        <v>57000</v>
      </c>
      <c r="K702">
        <v>30</v>
      </c>
      <c r="L702" t="s">
        <v>18</v>
      </c>
      <c r="M702" t="s">
        <v>30</v>
      </c>
    </row>
    <row r="703" spans="1:13" x14ac:dyDescent="0.3">
      <c r="A703">
        <v>36</v>
      </c>
      <c r="B703" t="s">
        <v>13</v>
      </c>
      <c r="C703" t="s">
        <v>20</v>
      </c>
      <c r="D703" t="s">
        <v>43</v>
      </c>
      <c r="E703">
        <v>10</v>
      </c>
      <c r="F703">
        <v>10</v>
      </c>
      <c r="G703" t="s">
        <v>28</v>
      </c>
      <c r="H703" t="s">
        <v>79</v>
      </c>
      <c r="I703">
        <v>68000</v>
      </c>
      <c r="J703">
        <v>2000</v>
      </c>
      <c r="K703">
        <v>30</v>
      </c>
      <c r="L703" t="s">
        <v>18</v>
      </c>
      <c r="M703" t="s">
        <v>30</v>
      </c>
    </row>
    <row r="704" spans="1:13" x14ac:dyDescent="0.3">
      <c r="A704">
        <v>37</v>
      </c>
      <c r="B704" t="s">
        <v>13</v>
      </c>
      <c r="C704" t="s">
        <v>20</v>
      </c>
      <c r="D704" t="s">
        <v>25</v>
      </c>
      <c r="E704">
        <v>14</v>
      </c>
      <c r="F704">
        <v>5</v>
      </c>
      <c r="G704" t="s">
        <v>16</v>
      </c>
      <c r="H704" t="s">
        <v>141</v>
      </c>
      <c r="I704">
        <v>84000</v>
      </c>
      <c r="K704">
        <v>30</v>
      </c>
      <c r="L704" t="s">
        <v>18</v>
      </c>
      <c r="M704" t="s">
        <v>30</v>
      </c>
    </row>
    <row r="705" spans="1:13" x14ac:dyDescent="0.3">
      <c r="A705">
        <v>33</v>
      </c>
      <c r="B705" t="s">
        <v>33</v>
      </c>
      <c r="C705" t="s">
        <v>20</v>
      </c>
      <c r="D705" t="s">
        <v>25</v>
      </c>
      <c r="E705">
        <v>13</v>
      </c>
      <c r="F705">
        <v>4</v>
      </c>
      <c r="G705" t="s">
        <v>28</v>
      </c>
      <c r="H705" t="s">
        <v>141</v>
      </c>
      <c r="I705">
        <v>47745</v>
      </c>
      <c r="J705">
        <v>3800</v>
      </c>
      <c r="K705">
        <v>30</v>
      </c>
      <c r="L705" t="s">
        <v>18</v>
      </c>
      <c r="M705" t="s">
        <v>30</v>
      </c>
    </row>
    <row r="706" spans="1:13" x14ac:dyDescent="0.3">
      <c r="A706">
        <v>25</v>
      </c>
      <c r="B706" t="s">
        <v>13</v>
      </c>
      <c r="C706" t="s">
        <v>20</v>
      </c>
      <c r="D706" t="s">
        <v>113</v>
      </c>
      <c r="E706">
        <v>6</v>
      </c>
      <c r="F706">
        <v>2</v>
      </c>
      <c r="G706" t="s">
        <v>28</v>
      </c>
      <c r="H706" t="s">
        <v>206</v>
      </c>
      <c r="I706">
        <v>100000</v>
      </c>
      <c r="J706">
        <v>20000</v>
      </c>
      <c r="K706">
        <v>30</v>
      </c>
      <c r="L706" t="s">
        <v>18</v>
      </c>
      <c r="M706" t="s">
        <v>30</v>
      </c>
    </row>
    <row r="707" spans="1:13" x14ac:dyDescent="0.3">
      <c r="A707">
        <v>33</v>
      </c>
      <c r="B707" t="s">
        <v>13</v>
      </c>
      <c r="C707" t="s">
        <v>20</v>
      </c>
      <c r="D707" t="s">
        <v>27</v>
      </c>
      <c r="E707">
        <v>8</v>
      </c>
      <c r="F707">
        <v>3</v>
      </c>
      <c r="G707" t="s">
        <v>16</v>
      </c>
      <c r="H707" t="s">
        <v>226</v>
      </c>
      <c r="I707">
        <v>75000</v>
      </c>
      <c r="J707">
        <v>1000</v>
      </c>
      <c r="K707">
        <v>30</v>
      </c>
      <c r="L707" t="s">
        <v>18</v>
      </c>
      <c r="M707" t="s">
        <v>30</v>
      </c>
    </row>
    <row r="708" spans="1:13" x14ac:dyDescent="0.3">
      <c r="A708">
        <v>37</v>
      </c>
      <c r="B708" t="s">
        <v>13</v>
      </c>
      <c r="C708" t="s">
        <v>14</v>
      </c>
      <c r="D708" t="s">
        <v>27</v>
      </c>
      <c r="E708">
        <v>17</v>
      </c>
      <c r="F708">
        <v>1</v>
      </c>
      <c r="G708" t="s">
        <v>16</v>
      </c>
      <c r="H708" t="s">
        <v>226</v>
      </c>
      <c r="I708">
        <v>90000</v>
      </c>
      <c r="J708">
        <v>0</v>
      </c>
      <c r="K708">
        <v>30</v>
      </c>
      <c r="L708" t="s">
        <v>18</v>
      </c>
      <c r="M708" t="s">
        <v>30</v>
      </c>
    </row>
    <row r="709" spans="1:13" x14ac:dyDescent="0.3">
      <c r="A709">
        <v>36</v>
      </c>
      <c r="B709" t="s">
        <v>13</v>
      </c>
      <c r="C709" t="s">
        <v>14</v>
      </c>
      <c r="D709" t="s">
        <v>225</v>
      </c>
      <c r="E709">
        <v>15</v>
      </c>
      <c r="F709">
        <v>6</v>
      </c>
      <c r="G709" t="s">
        <v>16</v>
      </c>
      <c r="H709" t="s">
        <v>226</v>
      </c>
      <c r="I709">
        <v>79300</v>
      </c>
      <c r="J709">
        <v>11900</v>
      </c>
      <c r="K709">
        <v>30</v>
      </c>
      <c r="L709" t="s">
        <v>36</v>
      </c>
      <c r="M709" t="s">
        <v>30</v>
      </c>
    </row>
    <row r="710" spans="1:13" x14ac:dyDescent="0.3">
      <c r="A710">
        <v>29</v>
      </c>
      <c r="B710" t="s">
        <v>13</v>
      </c>
      <c r="C710" t="s">
        <v>20</v>
      </c>
      <c r="D710" t="s">
        <v>35</v>
      </c>
      <c r="E710">
        <v>3</v>
      </c>
      <c r="F710">
        <v>3</v>
      </c>
      <c r="G710" t="s">
        <v>28</v>
      </c>
      <c r="H710" t="s">
        <v>266</v>
      </c>
      <c r="I710">
        <v>54000</v>
      </c>
      <c r="J710">
        <v>6000</v>
      </c>
      <c r="K710">
        <v>30</v>
      </c>
      <c r="L710" t="s">
        <v>36</v>
      </c>
      <c r="M710" t="s">
        <v>30</v>
      </c>
    </row>
    <row r="711" spans="1:13" x14ac:dyDescent="0.3">
      <c r="A711">
        <v>34</v>
      </c>
      <c r="B711" t="s">
        <v>13</v>
      </c>
      <c r="C711" t="s">
        <v>14</v>
      </c>
      <c r="D711" t="s">
        <v>90</v>
      </c>
      <c r="E711">
        <v>10</v>
      </c>
      <c r="F711">
        <v>4</v>
      </c>
      <c r="G711" t="s">
        <v>16</v>
      </c>
      <c r="H711" t="s">
        <v>266</v>
      </c>
      <c r="I711">
        <v>120000</v>
      </c>
      <c r="J711">
        <v>40000</v>
      </c>
      <c r="K711">
        <v>30</v>
      </c>
      <c r="L711" t="s">
        <v>18</v>
      </c>
      <c r="M711" t="s">
        <v>30</v>
      </c>
    </row>
    <row r="712" spans="1:13" x14ac:dyDescent="0.3">
      <c r="A712">
        <v>30</v>
      </c>
      <c r="B712" t="s">
        <v>33</v>
      </c>
      <c r="C712" t="s">
        <v>70</v>
      </c>
      <c r="D712" t="s">
        <v>52</v>
      </c>
      <c r="E712">
        <v>6</v>
      </c>
      <c r="F712">
        <v>4</v>
      </c>
      <c r="G712" t="s">
        <v>16</v>
      </c>
      <c r="H712" t="s">
        <v>125</v>
      </c>
      <c r="I712">
        <v>70000</v>
      </c>
      <c r="J712">
        <v>2000</v>
      </c>
      <c r="K712">
        <v>30</v>
      </c>
      <c r="L712" t="s">
        <v>36</v>
      </c>
      <c r="M712" t="s">
        <v>30</v>
      </c>
    </row>
    <row r="713" spans="1:13" x14ac:dyDescent="0.3">
      <c r="A713">
        <v>35</v>
      </c>
      <c r="B713" t="s">
        <v>13</v>
      </c>
      <c r="C713" t="s">
        <v>70</v>
      </c>
      <c r="D713" t="s">
        <v>341</v>
      </c>
      <c r="E713">
        <v>6</v>
      </c>
      <c r="F713">
        <v>5</v>
      </c>
      <c r="G713" t="s">
        <v>62</v>
      </c>
      <c r="H713" t="s">
        <v>111</v>
      </c>
      <c r="I713">
        <v>90000</v>
      </c>
      <c r="J713">
        <v>7500</v>
      </c>
      <c r="K713">
        <v>30</v>
      </c>
      <c r="L713" t="s">
        <v>18</v>
      </c>
      <c r="M713" t="s">
        <v>30</v>
      </c>
    </row>
    <row r="714" spans="1:13" x14ac:dyDescent="0.3">
      <c r="A714">
        <v>40</v>
      </c>
      <c r="B714" t="s">
        <v>13</v>
      </c>
      <c r="C714" t="s">
        <v>144</v>
      </c>
      <c r="D714" t="s">
        <v>15</v>
      </c>
      <c r="E714">
        <v>9</v>
      </c>
      <c r="F714">
        <v>9</v>
      </c>
      <c r="G714" t="s">
        <v>28</v>
      </c>
      <c r="H714" t="s">
        <v>111</v>
      </c>
      <c r="I714">
        <v>88000</v>
      </c>
      <c r="J714">
        <v>5000</v>
      </c>
      <c r="K714">
        <v>30</v>
      </c>
      <c r="L714" t="s">
        <v>18</v>
      </c>
      <c r="M714" t="s">
        <v>30</v>
      </c>
    </row>
    <row r="715" spans="1:13" x14ac:dyDescent="0.3">
      <c r="A715">
        <v>37</v>
      </c>
      <c r="C715" t="s">
        <v>14</v>
      </c>
      <c r="D715" t="s">
        <v>15</v>
      </c>
      <c r="E715">
        <v>15</v>
      </c>
      <c r="F715">
        <v>6</v>
      </c>
      <c r="G715" t="s">
        <v>16</v>
      </c>
      <c r="H715" t="s">
        <v>111</v>
      </c>
      <c r="I715">
        <v>120000</v>
      </c>
      <c r="J715">
        <v>80000</v>
      </c>
      <c r="K715">
        <v>30</v>
      </c>
      <c r="L715" t="s">
        <v>18</v>
      </c>
      <c r="M715" t="s">
        <v>30</v>
      </c>
    </row>
    <row r="716" spans="1:13" x14ac:dyDescent="0.3">
      <c r="A716">
        <v>34</v>
      </c>
      <c r="B716" t="s">
        <v>13</v>
      </c>
      <c r="C716" t="s">
        <v>208</v>
      </c>
      <c r="D716" t="s">
        <v>21</v>
      </c>
      <c r="E716">
        <v>14</v>
      </c>
      <c r="F716">
        <v>0</v>
      </c>
      <c r="G716" t="s">
        <v>24</v>
      </c>
      <c r="H716" t="s">
        <v>64</v>
      </c>
      <c r="I716">
        <v>90000</v>
      </c>
      <c r="J716">
        <v>40000</v>
      </c>
      <c r="K716">
        <v>30</v>
      </c>
      <c r="L716" t="s">
        <v>18</v>
      </c>
      <c r="M716" t="s">
        <v>30</v>
      </c>
    </row>
    <row r="717" spans="1:13" x14ac:dyDescent="0.3">
      <c r="A717">
        <v>40</v>
      </c>
      <c r="B717" t="s">
        <v>13</v>
      </c>
      <c r="C717" t="s">
        <v>174</v>
      </c>
      <c r="D717" t="s">
        <v>259</v>
      </c>
      <c r="E717">
        <v>20</v>
      </c>
      <c r="F717">
        <v>6</v>
      </c>
      <c r="G717" t="s">
        <v>24</v>
      </c>
      <c r="H717" t="s">
        <v>64</v>
      </c>
      <c r="I717">
        <v>85000</v>
      </c>
      <c r="J717">
        <v>15000</v>
      </c>
      <c r="K717">
        <v>30</v>
      </c>
      <c r="L717" t="s">
        <v>18</v>
      </c>
      <c r="M717" t="s">
        <v>30</v>
      </c>
    </row>
    <row r="718" spans="1:13" x14ac:dyDescent="0.3">
      <c r="A718">
        <v>46</v>
      </c>
      <c r="B718" t="s">
        <v>13</v>
      </c>
      <c r="C718" t="s">
        <v>70</v>
      </c>
      <c r="D718" t="s">
        <v>15</v>
      </c>
      <c r="E718">
        <v>23</v>
      </c>
      <c r="F718">
        <v>16</v>
      </c>
      <c r="G718" t="s">
        <v>16</v>
      </c>
      <c r="H718" t="s">
        <v>64</v>
      </c>
      <c r="I718">
        <v>90000</v>
      </c>
      <c r="J718">
        <v>96000</v>
      </c>
      <c r="K718">
        <v>30</v>
      </c>
      <c r="L718" t="s">
        <v>36</v>
      </c>
      <c r="M718" t="s">
        <v>30</v>
      </c>
    </row>
    <row r="719" spans="1:13" x14ac:dyDescent="0.3">
      <c r="A719">
        <v>45</v>
      </c>
      <c r="B719" t="s">
        <v>13</v>
      </c>
      <c r="C719" t="s">
        <v>63</v>
      </c>
      <c r="D719" t="s">
        <v>15</v>
      </c>
      <c r="E719">
        <v>26</v>
      </c>
      <c r="F719">
        <v>18</v>
      </c>
      <c r="G719" t="s">
        <v>16</v>
      </c>
      <c r="H719" t="s">
        <v>64</v>
      </c>
      <c r="I719">
        <v>93000</v>
      </c>
      <c r="J719">
        <v>10000</v>
      </c>
      <c r="K719">
        <v>30</v>
      </c>
      <c r="L719" t="s">
        <v>36</v>
      </c>
      <c r="M719" t="s">
        <v>30</v>
      </c>
    </row>
    <row r="720" spans="1:13" x14ac:dyDescent="0.3">
      <c r="A720">
        <v>39</v>
      </c>
      <c r="B720" t="s">
        <v>13</v>
      </c>
      <c r="C720" t="s">
        <v>20</v>
      </c>
      <c r="D720" t="s">
        <v>15</v>
      </c>
      <c r="E720">
        <v>10</v>
      </c>
      <c r="F720">
        <v>2</v>
      </c>
      <c r="G720" t="s">
        <v>16</v>
      </c>
      <c r="H720" t="s">
        <v>64</v>
      </c>
      <c r="I720">
        <v>75000</v>
      </c>
      <c r="K720">
        <v>30</v>
      </c>
      <c r="L720" t="s">
        <v>36</v>
      </c>
      <c r="M720" t="s">
        <v>30</v>
      </c>
    </row>
    <row r="721" spans="1:13" x14ac:dyDescent="0.3">
      <c r="A721">
        <v>35</v>
      </c>
      <c r="B721" t="s">
        <v>33</v>
      </c>
      <c r="C721" t="s">
        <v>20</v>
      </c>
      <c r="D721" t="s">
        <v>15</v>
      </c>
      <c r="E721">
        <v>15</v>
      </c>
      <c r="F721">
        <v>6</v>
      </c>
      <c r="G721" t="s">
        <v>16</v>
      </c>
      <c r="H721" t="s">
        <v>64</v>
      </c>
      <c r="I721">
        <v>76000</v>
      </c>
      <c r="K721">
        <v>30</v>
      </c>
      <c r="L721" t="s">
        <v>36</v>
      </c>
      <c r="M721" t="s">
        <v>30</v>
      </c>
    </row>
    <row r="722" spans="1:13" x14ac:dyDescent="0.3">
      <c r="A722">
        <v>33</v>
      </c>
      <c r="B722" t="s">
        <v>13</v>
      </c>
      <c r="C722" t="s">
        <v>20</v>
      </c>
      <c r="D722" t="s">
        <v>15</v>
      </c>
      <c r="E722">
        <v>10</v>
      </c>
      <c r="F722">
        <v>6</v>
      </c>
      <c r="G722" t="s">
        <v>24</v>
      </c>
      <c r="H722" t="s">
        <v>111</v>
      </c>
      <c r="I722">
        <v>95000</v>
      </c>
      <c r="J722">
        <v>15000</v>
      </c>
      <c r="K722">
        <v>30</v>
      </c>
      <c r="L722" t="s">
        <v>18</v>
      </c>
      <c r="M722" t="s">
        <v>30</v>
      </c>
    </row>
    <row r="723" spans="1:13" x14ac:dyDescent="0.3">
      <c r="A723">
        <v>36</v>
      </c>
      <c r="B723" t="s">
        <v>13</v>
      </c>
      <c r="C723" t="s">
        <v>20</v>
      </c>
      <c r="D723" t="s">
        <v>69</v>
      </c>
      <c r="E723">
        <v>18</v>
      </c>
      <c r="F723">
        <v>10</v>
      </c>
      <c r="G723" t="s">
        <v>62</v>
      </c>
      <c r="H723" t="s">
        <v>37</v>
      </c>
      <c r="I723">
        <v>98000</v>
      </c>
      <c r="J723">
        <v>25000</v>
      </c>
      <c r="K723">
        <v>30</v>
      </c>
      <c r="L723" t="s">
        <v>18</v>
      </c>
      <c r="M723" t="s">
        <v>30</v>
      </c>
    </row>
    <row r="724" spans="1:13" x14ac:dyDescent="0.3">
      <c r="A724">
        <v>34</v>
      </c>
      <c r="B724" t="s">
        <v>13</v>
      </c>
      <c r="C724" t="s">
        <v>220</v>
      </c>
      <c r="D724" t="s">
        <v>15</v>
      </c>
      <c r="E724">
        <v>6</v>
      </c>
      <c r="F724">
        <v>6</v>
      </c>
      <c r="G724" t="s">
        <v>62</v>
      </c>
      <c r="H724" t="s">
        <v>37</v>
      </c>
      <c r="I724">
        <v>90000</v>
      </c>
      <c r="J724">
        <v>1000</v>
      </c>
      <c r="K724">
        <v>30</v>
      </c>
      <c r="L724" t="s">
        <v>36</v>
      </c>
      <c r="M724" t="s">
        <v>30</v>
      </c>
    </row>
    <row r="725" spans="1:13" x14ac:dyDescent="0.3">
      <c r="A725">
        <v>34</v>
      </c>
      <c r="B725" t="s">
        <v>13</v>
      </c>
      <c r="C725" t="s">
        <v>404</v>
      </c>
      <c r="D725" t="s">
        <v>15</v>
      </c>
      <c r="E725">
        <v>3.5</v>
      </c>
      <c r="F725">
        <v>3.5</v>
      </c>
      <c r="G725" t="s">
        <v>26</v>
      </c>
      <c r="H725" t="s">
        <v>37</v>
      </c>
      <c r="I725">
        <v>55000</v>
      </c>
      <c r="J725">
        <v>55000</v>
      </c>
      <c r="K725">
        <v>30</v>
      </c>
      <c r="L725" t="s">
        <v>36</v>
      </c>
      <c r="M725" t="s">
        <v>30</v>
      </c>
    </row>
    <row r="726" spans="1:13" x14ac:dyDescent="0.3">
      <c r="A726">
        <v>33</v>
      </c>
      <c r="B726" t="s">
        <v>13</v>
      </c>
      <c r="C726" t="s">
        <v>319</v>
      </c>
      <c r="D726" t="s">
        <v>320</v>
      </c>
      <c r="E726">
        <v>7</v>
      </c>
      <c r="F726">
        <v>7</v>
      </c>
      <c r="G726" t="s">
        <v>24</v>
      </c>
      <c r="H726" t="s">
        <v>37</v>
      </c>
      <c r="I726">
        <v>90000</v>
      </c>
      <c r="J726">
        <v>0</v>
      </c>
      <c r="K726">
        <v>30</v>
      </c>
      <c r="L726" t="s">
        <v>36</v>
      </c>
      <c r="M726" t="s">
        <v>30</v>
      </c>
    </row>
    <row r="727" spans="1:13" x14ac:dyDescent="0.3">
      <c r="A727">
        <v>45</v>
      </c>
      <c r="B727" t="s">
        <v>13</v>
      </c>
      <c r="C727" t="s">
        <v>20</v>
      </c>
      <c r="D727" t="s">
        <v>15</v>
      </c>
      <c r="E727">
        <v>25</v>
      </c>
      <c r="F727">
        <v>20</v>
      </c>
      <c r="G727" t="s">
        <v>24</v>
      </c>
      <c r="H727" t="s">
        <v>37</v>
      </c>
      <c r="I727">
        <v>75000</v>
      </c>
      <c r="J727">
        <v>20000</v>
      </c>
      <c r="K727">
        <v>30</v>
      </c>
      <c r="L727" t="s">
        <v>36</v>
      </c>
      <c r="M727" t="s">
        <v>30</v>
      </c>
    </row>
    <row r="728" spans="1:13" x14ac:dyDescent="0.3">
      <c r="A728">
        <v>33</v>
      </c>
      <c r="B728" t="s">
        <v>33</v>
      </c>
      <c r="C728" t="s">
        <v>334</v>
      </c>
      <c r="D728" t="s">
        <v>15</v>
      </c>
      <c r="E728">
        <v>6</v>
      </c>
      <c r="F728">
        <v>4</v>
      </c>
      <c r="G728" t="s">
        <v>28</v>
      </c>
      <c r="H728" t="s">
        <v>37</v>
      </c>
      <c r="I728">
        <v>58000</v>
      </c>
      <c r="J728">
        <v>6000</v>
      </c>
      <c r="K728">
        <v>30</v>
      </c>
      <c r="L728" t="s">
        <v>36</v>
      </c>
      <c r="M728" t="s">
        <v>30</v>
      </c>
    </row>
    <row r="729" spans="1:13" x14ac:dyDescent="0.3">
      <c r="A729">
        <v>24</v>
      </c>
      <c r="B729" t="s">
        <v>13</v>
      </c>
      <c r="C729" t="s">
        <v>14</v>
      </c>
      <c r="D729" t="s">
        <v>15</v>
      </c>
      <c r="E729">
        <v>5</v>
      </c>
      <c r="F729">
        <v>2</v>
      </c>
      <c r="G729" t="s">
        <v>28</v>
      </c>
      <c r="H729" t="s">
        <v>37</v>
      </c>
      <c r="I729">
        <v>79000</v>
      </c>
      <c r="J729">
        <v>56000</v>
      </c>
      <c r="K729">
        <v>30</v>
      </c>
      <c r="L729" t="s">
        <v>18</v>
      </c>
      <c r="M729" t="s">
        <v>30</v>
      </c>
    </row>
    <row r="730" spans="1:13" x14ac:dyDescent="0.3">
      <c r="A730">
        <v>31</v>
      </c>
      <c r="B730" t="s">
        <v>13</v>
      </c>
      <c r="C730" t="s">
        <v>14</v>
      </c>
      <c r="D730" t="s">
        <v>15</v>
      </c>
      <c r="E730">
        <v>9</v>
      </c>
      <c r="F730">
        <v>1</v>
      </c>
      <c r="G730" t="s">
        <v>28</v>
      </c>
      <c r="H730" t="s">
        <v>37</v>
      </c>
      <c r="I730">
        <v>92500</v>
      </c>
      <c r="J730">
        <v>22500</v>
      </c>
      <c r="K730">
        <v>30</v>
      </c>
      <c r="L730" t="s">
        <v>18</v>
      </c>
      <c r="M730" t="s">
        <v>30</v>
      </c>
    </row>
    <row r="731" spans="1:13" x14ac:dyDescent="0.3">
      <c r="A731">
        <v>46</v>
      </c>
      <c r="B731" t="s">
        <v>13</v>
      </c>
      <c r="C731" t="s">
        <v>59</v>
      </c>
      <c r="D731" t="s">
        <v>15</v>
      </c>
      <c r="E731">
        <v>13</v>
      </c>
      <c r="F731">
        <v>6</v>
      </c>
      <c r="G731" t="s">
        <v>28</v>
      </c>
      <c r="H731" t="s">
        <v>37</v>
      </c>
      <c r="I731">
        <v>70000</v>
      </c>
      <c r="J731">
        <v>3000</v>
      </c>
      <c r="K731">
        <v>30</v>
      </c>
      <c r="L731" t="s">
        <v>18</v>
      </c>
      <c r="M731" t="s">
        <v>30</v>
      </c>
    </row>
    <row r="732" spans="1:13" x14ac:dyDescent="0.3">
      <c r="A732">
        <v>35</v>
      </c>
      <c r="B732" t="s">
        <v>13</v>
      </c>
      <c r="C732" t="s">
        <v>20</v>
      </c>
      <c r="D732" t="s">
        <v>15</v>
      </c>
      <c r="E732">
        <v>15</v>
      </c>
      <c r="F732">
        <v>4</v>
      </c>
      <c r="G732" t="s">
        <v>254</v>
      </c>
      <c r="H732" t="s">
        <v>37</v>
      </c>
      <c r="I732">
        <v>77000</v>
      </c>
      <c r="J732">
        <v>20000</v>
      </c>
      <c r="K732">
        <v>30</v>
      </c>
      <c r="L732" t="s">
        <v>18</v>
      </c>
      <c r="M732" t="s">
        <v>30</v>
      </c>
    </row>
    <row r="733" spans="1:13" x14ac:dyDescent="0.3">
      <c r="A733">
        <v>30</v>
      </c>
      <c r="B733" t="s">
        <v>13</v>
      </c>
      <c r="C733" t="s">
        <v>14</v>
      </c>
      <c r="D733" t="s">
        <v>15</v>
      </c>
      <c r="E733">
        <v>7</v>
      </c>
      <c r="F733">
        <v>5</v>
      </c>
      <c r="G733" t="s">
        <v>16</v>
      </c>
      <c r="H733" t="s">
        <v>37</v>
      </c>
      <c r="I733">
        <v>100000</v>
      </c>
      <c r="J733">
        <v>75000</v>
      </c>
      <c r="K733">
        <v>30</v>
      </c>
      <c r="L733" t="s">
        <v>18</v>
      </c>
      <c r="M733" t="s">
        <v>30</v>
      </c>
    </row>
    <row r="734" spans="1:13" x14ac:dyDescent="0.3">
      <c r="A734">
        <v>35</v>
      </c>
      <c r="B734" t="s">
        <v>13</v>
      </c>
      <c r="C734" t="s">
        <v>14</v>
      </c>
      <c r="D734" t="s">
        <v>15</v>
      </c>
      <c r="E734">
        <v>14</v>
      </c>
      <c r="F734">
        <v>1</v>
      </c>
      <c r="G734" t="s">
        <v>16</v>
      </c>
      <c r="H734" t="s">
        <v>37</v>
      </c>
      <c r="I734">
        <v>98000</v>
      </c>
      <c r="J734">
        <v>28000</v>
      </c>
      <c r="K734">
        <v>30</v>
      </c>
      <c r="L734" t="s">
        <v>18</v>
      </c>
      <c r="M734" t="s">
        <v>30</v>
      </c>
    </row>
    <row r="735" spans="1:13" x14ac:dyDescent="0.3">
      <c r="A735">
        <v>29</v>
      </c>
      <c r="B735" t="s">
        <v>13</v>
      </c>
      <c r="C735" t="s">
        <v>20</v>
      </c>
      <c r="D735" t="s">
        <v>15</v>
      </c>
      <c r="E735">
        <v>9</v>
      </c>
      <c r="F735">
        <v>5</v>
      </c>
      <c r="G735" t="s">
        <v>16</v>
      </c>
      <c r="H735" t="s">
        <v>37</v>
      </c>
      <c r="I735">
        <v>73000</v>
      </c>
      <c r="J735">
        <v>16000</v>
      </c>
      <c r="K735">
        <v>30</v>
      </c>
      <c r="L735" t="s">
        <v>18</v>
      </c>
      <c r="M735" t="s">
        <v>30</v>
      </c>
    </row>
    <row r="736" spans="1:13" x14ac:dyDescent="0.3">
      <c r="A736">
        <v>33</v>
      </c>
      <c r="B736" t="s">
        <v>13</v>
      </c>
      <c r="C736" t="s">
        <v>20</v>
      </c>
      <c r="D736" t="s">
        <v>15</v>
      </c>
      <c r="E736">
        <v>7</v>
      </c>
      <c r="F736">
        <v>7</v>
      </c>
      <c r="G736" t="s">
        <v>16</v>
      </c>
      <c r="H736" t="s">
        <v>37</v>
      </c>
      <c r="I736">
        <v>65900</v>
      </c>
      <c r="J736">
        <v>15900</v>
      </c>
      <c r="K736">
        <v>30</v>
      </c>
      <c r="L736" t="s">
        <v>18</v>
      </c>
      <c r="M736" t="s">
        <v>30</v>
      </c>
    </row>
    <row r="737" spans="1:13" x14ac:dyDescent="0.3">
      <c r="A737">
        <v>32</v>
      </c>
      <c r="B737" t="s">
        <v>13</v>
      </c>
      <c r="C737" t="s">
        <v>20</v>
      </c>
      <c r="D737" t="s">
        <v>15</v>
      </c>
      <c r="E737">
        <v>11</v>
      </c>
      <c r="F737">
        <v>1</v>
      </c>
      <c r="G737" t="s">
        <v>16</v>
      </c>
      <c r="H737" t="s">
        <v>37</v>
      </c>
      <c r="I737">
        <v>100000</v>
      </c>
      <c r="J737">
        <v>10000</v>
      </c>
      <c r="K737">
        <v>30</v>
      </c>
      <c r="L737" t="s">
        <v>18</v>
      </c>
      <c r="M737" t="s">
        <v>30</v>
      </c>
    </row>
    <row r="738" spans="1:13" x14ac:dyDescent="0.3">
      <c r="A738">
        <v>40</v>
      </c>
      <c r="B738" t="s">
        <v>13</v>
      </c>
      <c r="C738" t="s">
        <v>358</v>
      </c>
      <c r="D738" t="s">
        <v>15</v>
      </c>
      <c r="E738">
        <v>16</v>
      </c>
      <c r="F738">
        <v>3</v>
      </c>
      <c r="G738" t="s">
        <v>16</v>
      </c>
      <c r="H738" t="s">
        <v>37</v>
      </c>
      <c r="I738">
        <v>72000</v>
      </c>
      <c r="J738">
        <v>5000</v>
      </c>
      <c r="K738">
        <v>30</v>
      </c>
      <c r="L738" t="s">
        <v>18</v>
      </c>
      <c r="M738" t="s">
        <v>30</v>
      </c>
    </row>
    <row r="739" spans="1:13" x14ac:dyDescent="0.3">
      <c r="A739">
        <v>28</v>
      </c>
      <c r="B739" t="s">
        <v>13</v>
      </c>
      <c r="C739" t="s">
        <v>59</v>
      </c>
      <c r="D739" t="s">
        <v>15</v>
      </c>
      <c r="E739">
        <v>8</v>
      </c>
      <c r="F739">
        <v>1</v>
      </c>
      <c r="G739" t="s">
        <v>16</v>
      </c>
      <c r="H739" t="s">
        <v>37</v>
      </c>
      <c r="I739">
        <v>67200</v>
      </c>
      <c r="K739">
        <v>30</v>
      </c>
      <c r="L739" t="s">
        <v>18</v>
      </c>
      <c r="M739" t="s">
        <v>30</v>
      </c>
    </row>
    <row r="740" spans="1:13" x14ac:dyDescent="0.3">
      <c r="A740">
        <v>34</v>
      </c>
      <c r="B740" t="s">
        <v>13</v>
      </c>
      <c r="C740" t="s">
        <v>14</v>
      </c>
      <c r="D740" t="s">
        <v>15</v>
      </c>
      <c r="E740">
        <v>10</v>
      </c>
      <c r="F740">
        <v>4</v>
      </c>
      <c r="G740" t="s">
        <v>16</v>
      </c>
      <c r="H740" t="s">
        <v>37</v>
      </c>
      <c r="I740">
        <v>74000</v>
      </c>
      <c r="K740">
        <v>30</v>
      </c>
      <c r="L740" t="s">
        <v>18</v>
      </c>
      <c r="M740" t="s">
        <v>30</v>
      </c>
    </row>
    <row r="741" spans="1:13" x14ac:dyDescent="0.3">
      <c r="A741">
        <v>29</v>
      </c>
      <c r="B741" t="s">
        <v>13</v>
      </c>
      <c r="C741" t="s">
        <v>14</v>
      </c>
      <c r="D741" t="s">
        <v>171</v>
      </c>
      <c r="E741">
        <v>8</v>
      </c>
      <c r="F741">
        <v>3</v>
      </c>
      <c r="G741" t="s">
        <v>16</v>
      </c>
      <c r="H741" t="s">
        <v>37</v>
      </c>
      <c r="I741">
        <v>73000</v>
      </c>
      <c r="J741">
        <v>400</v>
      </c>
      <c r="K741">
        <v>30</v>
      </c>
      <c r="L741" t="s">
        <v>18</v>
      </c>
      <c r="M741" t="s">
        <v>30</v>
      </c>
    </row>
    <row r="742" spans="1:13" x14ac:dyDescent="0.3">
      <c r="A742">
        <v>36</v>
      </c>
      <c r="B742" t="s">
        <v>13</v>
      </c>
      <c r="C742" t="s">
        <v>70</v>
      </c>
      <c r="D742" t="s">
        <v>15</v>
      </c>
      <c r="E742">
        <v>14</v>
      </c>
      <c r="G742" t="s">
        <v>16</v>
      </c>
      <c r="H742" t="s">
        <v>37</v>
      </c>
      <c r="I742">
        <v>81500</v>
      </c>
      <c r="J742">
        <v>4500</v>
      </c>
      <c r="K742">
        <v>30</v>
      </c>
      <c r="L742" t="s">
        <v>18</v>
      </c>
      <c r="M742" t="s">
        <v>30</v>
      </c>
    </row>
    <row r="743" spans="1:13" x14ac:dyDescent="0.3">
      <c r="A743">
        <v>33</v>
      </c>
      <c r="B743" t="s">
        <v>33</v>
      </c>
      <c r="C743" t="s">
        <v>20</v>
      </c>
      <c r="D743" t="s">
        <v>15</v>
      </c>
      <c r="E743">
        <v>12</v>
      </c>
      <c r="F743">
        <v>5</v>
      </c>
      <c r="G743" t="s">
        <v>16</v>
      </c>
      <c r="H743" t="s">
        <v>57</v>
      </c>
      <c r="I743">
        <v>88000</v>
      </c>
      <c r="J743">
        <v>35200</v>
      </c>
      <c r="K743">
        <v>30</v>
      </c>
      <c r="L743" t="s">
        <v>18</v>
      </c>
      <c r="M743" t="s">
        <v>30</v>
      </c>
    </row>
    <row r="744" spans="1:13" x14ac:dyDescent="0.3">
      <c r="A744">
        <v>38</v>
      </c>
      <c r="B744" t="s">
        <v>13</v>
      </c>
      <c r="C744" t="s">
        <v>70</v>
      </c>
      <c r="D744" t="s">
        <v>114</v>
      </c>
      <c r="E744">
        <v>6</v>
      </c>
      <c r="F744">
        <v>2</v>
      </c>
      <c r="G744" t="s">
        <v>115</v>
      </c>
      <c r="H744" t="s">
        <v>116</v>
      </c>
      <c r="I744">
        <v>68000</v>
      </c>
      <c r="J744">
        <v>12000</v>
      </c>
      <c r="K744">
        <v>30</v>
      </c>
      <c r="L744" t="s">
        <v>18</v>
      </c>
      <c r="M744" t="s">
        <v>30</v>
      </c>
    </row>
    <row r="745" spans="1:13" x14ac:dyDescent="0.3">
      <c r="A745">
        <v>32</v>
      </c>
      <c r="B745" t="s">
        <v>13</v>
      </c>
      <c r="C745" t="s">
        <v>20</v>
      </c>
      <c r="D745" t="s">
        <v>120</v>
      </c>
      <c r="E745">
        <v>10</v>
      </c>
      <c r="F745">
        <v>3</v>
      </c>
      <c r="G745" t="s">
        <v>24</v>
      </c>
      <c r="H745" t="s">
        <v>27</v>
      </c>
      <c r="I745">
        <v>100000</v>
      </c>
      <c r="K745">
        <v>30</v>
      </c>
      <c r="L745" t="s">
        <v>18</v>
      </c>
      <c r="M745" t="s">
        <v>30</v>
      </c>
    </row>
    <row r="746" spans="1:13" x14ac:dyDescent="0.3">
      <c r="A746">
        <v>39</v>
      </c>
      <c r="B746" t="s">
        <v>13</v>
      </c>
      <c r="C746" t="s">
        <v>295</v>
      </c>
      <c r="D746" t="s">
        <v>15</v>
      </c>
      <c r="E746">
        <v>16</v>
      </c>
      <c r="F746">
        <v>6</v>
      </c>
      <c r="G746" t="s">
        <v>16</v>
      </c>
      <c r="H746" t="s">
        <v>272</v>
      </c>
      <c r="I746">
        <v>62400</v>
      </c>
      <c r="J746">
        <v>5000</v>
      </c>
      <c r="K746">
        <v>30</v>
      </c>
      <c r="L746" t="s">
        <v>164</v>
      </c>
      <c r="M746" t="s">
        <v>30</v>
      </c>
    </row>
    <row r="747" spans="1:13" x14ac:dyDescent="0.3">
      <c r="A747">
        <v>33</v>
      </c>
      <c r="B747" t="s">
        <v>13</v>
      </c>
      <c r="C747" t="s">
        <v>14</v>
      </c>
      <c r="D747" t="s">
        <v>15</v>
      </c>
      <c r="E747">
        <v>5</v>
      </c>
      <c r="F747">
        <v>5</v>
      </c>
      <c r="G747" t="s">
        <v>16</v>
      </c>
      <c r="H747" t="s">
        <v>272</v>
      </c>
      <c r="I747">
        <v>61000</v>
      </c>
      <c r="J747">
        <v>63000</v>
      </c>
      <c r="K747">
        <v>30</v>
      </c>
      <c r="L747" t="s">
        <v>18</v>
      </c>
      <c r="M747" t="s">
        <v>30</v>
      </c>
    </row>
    <row r="748" spans="1:13" x14ac:dyDescent="0.3">
      <c r="A748">
        <v>24</v>
      </c>
      <c r="B748" t="s">
        <v>13</v>
      </c>
      <c r="C748" t="s">
        <v>14</v>
      </c>
      <c r="D748" t="s">
        <v>27</v>
      </c>
      <c r="E748">
        <v>3</v>
      </c>
      <c r="F748">
        <v>1</v>
      </c>
      <c r="G748" t="s">
        <v>26</v>
      </c>
      <c r="H748" t="s">
        <v>51</v>
      </c>
      <c r="I748">
        <v>77000</v>
      </c>
      <c r="J748">
        <v>20000</v>
      </c>
      <c r="K748">
        <v>30</v>
      </c>
      <c r="L748" t="s">
        <v>18</v>
      </c>
      <c r="M748" t="s">
        <v>30</v>
      </c>
    </row>
    <row r="749" spans="1:13" x14ac:dyDescent="0.3">
      <c r="A749">
        <v>35</v>
      </c>
      <c r="B749" t="s">
        <v>13</v>
      </c>
      <c r="C749" t="s">
        <v>20</v>
      </c>
      <c r="D749" t="s">
        <v>15</v>
      </c>
      <c r="E749">
        <v>8</v>
      </c>
      <c r="F749">
        <v>5</v>
      </c>
      <c r="G749" t="s">
        <v>16</v>
      </c>
      <c r="H749" t="s">
        <v>51</v>
      </c>
      <c r="I749">
        <v>90000</v>
      </c>
      <c r="J749">
        <v>100000</v>
      </c>
      <c r="K749">
        <v>30</v>
      </c>
      <c r="L749" t="s">
        <v>18</v>
      </c>
      <c r="M749" t="s">
        <v>30</v>
      </c>
    </row>
    <row r="750" spans="1:13" x14ac:dyDescent="0.3">
      <c r="A750">
        <v>30</v>
      </c>
      <c r="B750" t="s">
        <v>13</v>
      </c>
      <c r="C750" t="s">
        <v>14</v>
      </c>
      <c r="D750" t="s">
        <v>15</v>
      </c>
      <c r="E750">
        <v>10</v>
      </c>
      <c r="F750">
        <v>6</v>
      </c>
      <c r="G750" t="s">
        <v>16</v>
      </c>
      <c r="H750" t="s">
        <v>51</v>
      </c>
      <c r="I750">
        <v>151872</v>
      </c>
      <c r="J750">
        <v>37968</v>
      </c>
      <c r="K750">
        <v>30</v>
      </c>
      <c r="L750" t="s">
        <v>18</v>
      </c>
      <c r="M750" t="s">
        <v>30</v>
      </c>
    </row>
    <row r="751" spans="1:13" x14ac:dyDescent="0.3">
      <c r="A751">
        <v>29</v>
      </c>
      <c r="B751" t="s">
        <v>13</v>
      </c>
      <c r="C751" t="s">
        <v>20</v>
      </c>
      <c r="D751" t="s">
        <v>15</v>
      </c>
      <c r="E751">
        <v>8</v>
      </c>
      <c r="F751">
        <v>2</v>
      </c>
      <c r="G751" t="s">
        <v>16</v>
      </c>
      <c r="H751" t="s">
        <v>51</v>
      </c>
      <c r="I751">
        <v>70000</v>
      </c>
      <c r="J751">
        <v>5000</v>
      </c>
      <c r="K751">
        <v>30</v>
      </c>
      <c r="L751" t="s">
        <v>18</v>
      </c>
      <c r="M751" t="s">
        <v>30</v>
      </c>
    </row>
    <row r="752" spans="1:13" x14ac:dyDescent="0.3">
      <c r="A752">
        <v>38</v>
      </c>
      <c r="B752" t="s">
        <v>13</v>
      </c>
      <c r="C752" t="s">
        <v>59</v>
      </c>
      <c r="D752" t="s">
        <v>60</v>
      </c>
      <c r="E752">
        <v>15</v>
      </c>
      <c r="F752">
        <v>5</v>
      </c>
      <c r="G752" t="s">
        <v>24</v>
      </c>
      <c r="H752" t="s">
        <v>61</v>
      </c>
      <c r="I752">
        <v>83000</v>
      </c>
      <c r="K752">
        <v>30</v>
      </c>
      <c r="L752" t="s">
        <v>18</v>
      </c>
      <c r="M752" t="s">
        <v>30</v>
      </c>
    </row>
    <row r="753" spans="1:13" x14ac:dyDescent="0.3">
      <c r="A753">
        <v>28</v>
      </c>
      <c r="B753" t="s">
        <v>13</v>
      </c>
      <c r="C753" t="s">
        <v>14</v>
      </c>
      <c r="D753" t="s">
        <v>43</v>
      </c>
      <c r="E753">
        <v>5</v>
      </c>
      <c r="F753">
        <v>3</v>
      </c>
      <c r="G753" t="s">
        <v>16</v>
      </c>
      <c r="H753" t="s">
        <v>46</v>
      </c>
      <c r="I753">
        <v>57000</v>
      </c>
      <c r="J753">
        <v>8000</v>
      </c>
      <c r="K753">
        <v>30</v>
      </c>
      <c r="L753" t="s">
        <v>18</v>
      </c>
      <c r="M753" t="s">
        <v>30</v>
      </c>
    </row>
    <row r="754" spans="1:13" x14ac:dyDescent="0.3">
      <c r="A754">
        <v>38</v>
      </c>
      <c r="B754" t="s">
        <v>13</v>
      </c>
      <c r="C754" t="s">
        <v>20</v>
      </c>
      <c r="D754" t="s">
        <v>275</v>
      </c>
      <c r="E754">
        <v>20</v>
      </c>
      <c r="F754">
        <v>9</v>
      </c>
      <c r="G754" t="s">
        <v>62</v>
      </c>
      <c r="H754" t="s">
        <v>32</v>
      </c>
      <c r="I754">
        <v>130000</v>
      </c>
      <c r="J754">
        <v>20000</v>
      </c>
      <c r="K754">
        <v>30</v>
      </c>
      <c r="L754" t="s">
        <v>18</v>
      </c>
      <c r="M754" t="s">
        <v>30</v>
      </c>
    </row>
    <row r="755" spans="1:13" x14ac:dyDescent="0.3">
      <c r="A755">
        <v>22</v>
      </c>
      <c r="B755" t="s">
        <v>13</v>
      </c>
      <c r="C755" t="s">
        <v>70</v>
      </c>
      <c r="D755" t="s">
        <v>15</v>
      </c>
      <c r="E755">
        <v>2</v>
      </c>
      <c r="F755">
        <v>2</v>
      </c>
      <c r="G755" t="s">
        <v>26</v>
      </c>
      <c r="H755" t="s">
        <v>32</v>
      </c>
      <c r="I755">
        <v>45000</v>
      </c>
      <c r="J755">
        <v>7000</v>
      </c>
      <c r="K755">
        <v>30</v>
      </c>
      <c r="L755" t="s">
        <v>36</v>
      </c>
      <c r="M755" t="s">
        <v>30</v>
      </c>
    </row>
    <row r="756" spans="1:13" x14ac:dyDescent="0.3">
      <c r="A756">
        <v>32</v>
      </c>
      <c r="B756" t="s">
        <v>33</v>
      </c>
      <c r="C756" t="s">
        <v>59</v>
      </c>
      <c r="D756" t="s">
        <v>59</v>
      </c>
      <c r="E756">
        <v>2</v>
      </c>
      <c r="F756">
        <v>2</v>
      </c>
      <c r="G756" t="s">
        <v>26</v>
      </c>
      <c r="H756" t="s">
        <v>32</v>
      </c>
      <c r="I756">
        <v>52000</v>
      </c>
      <c r="J756">
        <v>4000</v>
      </c>
      <c r="K756">
        <v>30</v>
      </c>
      <c r="L756" t="s">
        <v>18</v>
      </c>
      <c r="M756" t="s">
        <v>30</v>
      </c>
    </row>
    <row r="757" spans="1:13" x14ac:dyDescent="0.3">
      <c r="A757">
        <v>33</v>
      </c>
      <c r="B757" t="s">
        <v>33</v>
      </c>
      <c r="C757" t="s">
        <v>14</v>
      </c>
      <c r="D757" t="s">
        <v>407</v>
      </c>
      <c r="E757">
        <v>10</v>
      </c>
      <c r="F757">
        <v>2</v>
      </c>
      <c r="G757" t="s">
        <v>26</v>
      </c>
      <c r="H757" t="s">
        <v>32</v>
      </c>
      <c r="I757">
        <v>60000</v>
      </c>
      <c r="J757">
        <v>60000</v>
      </c>
      <c r="K757">
        <v>30</v>
      </c>
      <c r="L757" t="s">
        <v>36</v>
      </c>
      <c r="M757" t="s">
        <v>30</v>
      </c>
    </row>
    <row r="758" spans="1:13" x14ac:dyDescent="0.3">
      <c r="A758">
        <v>43</v>
      </c>
      <c r="B758" t="s">
        <v>13</v>
      </c>
      <c r="C758" t="s">
        <v>20</v>
      </c>
      <c r="D758" t="s">
        <v>69</v>
      </c>
      <c r="E758">
        <v>20</v>
      </c>
      <c r="F758">
        <v>20</v>
      </c>
      <c r="G758" t="s">
        <v>24</v>
      </c>
      <c r="H758" t="s">
        <v>32</v>
      </c>
      <c r="I758">
        <v>105000</v>
      </c>
      <c r="J758">
        <v>0</v>
      </c>
      <c r="K758">
        <v>30</v>
      </c>
      <c r="L758" t="s">
        <v>18</v>
      </c>
      <c r="M758" t="s">
        <v>30</v>
      </c>
    </row>
    <row r="759" spans="1:13" x14ac:dyDescent="0.3">
      <c r="A759">
        <v>40</v>
      </c>
      <c r="B759" t="s">
        <v>13</v>
      </c>
      <c r="C759" t="s">
        <v>14</v>
      </c>
      <c r="D759" t="s">
        <v>52</v>
      </c>
      <c r="E759">
        <v>18</v>
      </c>
      <c r="F759">
        <v>14</v>
      </c>
      <c r="G759" t="s">
        <v>24</v>
      </c>
      <c r="H759" t="s">
        <v>32</v>
      </c>
      <c r="I759">
        <v>78000</v>
      </c>
      <c r="J759">
        <v>8000</v>
      </c>
      <c r="K759">
        <v>30</v>
      </c>
      <c r="L759" t="s">
        <v>36</v>
      </c>
      <c r="M759" t="s">
        <v>30</v>
      </c>
    </row>
    <row r="760" spans="1:13" x14ac:dyDescent="0.3">
      <c r="A760">
        <v>38</v>
      </c>
      <c r="B760" t="s">
        <v>13</v>
      </c>
      <c r="C760" t="s">
        <v>20</v>
      </c>
      <c r="D760" t="s">
        <v>15</v>
      </c>
      <c r="E760">
        <v>13</v>
      </c>
      <c r="F760">
        <v>6</v>
      </c>
      <c r="G760" t="s">
        <v>24</v>
      </c>
      <c r="H760" t="s">
        <v>32</v>
      </c>
      <c r="I760">
        <v>89570</v>
      </c>
      <c r="J760">
        <v>20240</v>
      </c>
      <c r="K760">
        <v>30</v>
      </c>
      <c r="L760" t="s">
        <v>18</v>
      </c>
      <c r="M760" t="s">
        <v>30</v>
      </c>
    </row>
    <row r="761" spans="1:13" x14ac:dyDescent="0.3">
      <c r="A761">
        <v>34</v>
      </c>
      <c r="B761" t="s">
        <v>13</v>
      </c>
      <c r="C761" t="s">
        <v>20</v>
      </c>
      <c r="D761" t="s">
        <v>15</v>
      </c>
      <c r="E761">
        <v>14</v>
      </c>
      <c r="F761">
        <v>4</v>
      </c>
      <c r="G761" t="s">
        <v>24</v>
      </c>
      <c r="H761" t="s">
        <v>32</v>
      </c>
      <c r="I761">
        <v>95000</v>
      </c>
      <c r="J761">
        <v>5000</v>
      </c>
      <c r="K761">
        <v>30</v>
      </c>
      <c r="L761" t="s">
        <v>18</v>
      </c>
      <c r="M761" t="s">
        <v>30</v>
      </c>
    </row>
    <row r="762" spans="1:13" x14ac:dyDescent="0.3">
      <c r="A762">
        <v>34</v>
      </c>
      <c r="B762" t="s">
        <v>13</v>
      </c>
      <c r="C762" t="s">
        <v>20</v>
      </c>
      <c r="D762" t="s">
        <v>15</v>
      </c>
      <c r="E762">
        <v>14</v>
      </c>
      <c r="F762">
        <v>4</v>
      </c>
      <c r="G762" t="s">
        <v>24</v>
      </c>
      <c r="H762" t="s">
        <v>32</v>
      </c>
      <c r="I762">
        <v>95000</v>
      </c>
      <c r="J762">
        <v>5000</v>
      </c>
      <c r="K762">
        <v>30</v>
      </c>
      <c r="L762" t="s">
        <v>18</v>
      </c>
      <c r="M762" t="s">
        <v>30</v>
      </c>
    </row>
    <row r="763" spans="1:13" x14ac:dyDescent="0.3">
      <c r="A763">
        <v>27</v>
      </c>
      <c r="B763" t="s">
        <v>13</v>
      </c>
      <c r="C763" t="s">
        <v>20</v>
      </c>
      <c r="D763" t="s">
        <v>21</v>
      </c>
      <c r="E763">
        <v>5</v>
      </c>
      <c r="F763">
        <v>1</v>
      </c>
      <c r="G763" t="s">
        <v>28</v>
      </c>
      <c r="H763" t="s">
        <v>32</v>
      </c>
      <c r="I763">
        <v>65000</v>
      </c>
      <c r="K763">
        <v>30</v>
      </c>
      <c r="L763" t="s">
        <v>18</v>
      </c>
      <c r="M763" t="s">
        <v>30</v>
      </c>
    </row>
    <row r="764" spans="1:13" x14ac:dyDescent="0.3">
      <c r="A764">
        <v>27</v>
      </c>
      <c r="B764" t="s">
        <v>13</v>
      </c>
      <c r="C764" t="s">
        <v>20</v>
      </c>
      <c r="D764" t="s">
        <v>21</v>
      </c>
      <c r="E764">
        <v>5</v>
      </c>
      <c r="F764">
        <v>1</v>
      </c>
      <c r="G764" t="s">
        <v>28</v>
      </c>
      <c r="H764" t="s">
        <v>32</v>
      </c>
      <c r="I764">
        <v>65000</v>
      </c>
      <c r="K764">
        <v>30</v>
      </c>
      <c r="L764" t="s">
        <v>18</v>
      </c>
      <c r="M764" t="s">
        <v>30</v>
      </c>
    </row>
    <row r="765" spans="1:13" x14ac:dyDescent="0.3">
      <c r="A765">
        <v>26</v>
      </c>
      <c r="B765" t="s">
        <v>13</v>
      </c>
      <c r="C765" t="s">
        <v>20</v>
      </c>
      <c r="D765" t="s">
        <v>21</v>
      </c>
      <c r="E765">
        <v>5</v>
      </c>
      <c r="F765">
        <v>4</v>
      </c>
      <c r="G765" t="s">
        <v>28</v>
      </c>
      <c r="H765" t="s">
        <v>32</v>
      </c>
      <c r="I765">
        <v>72000</v>
      </c>
      <c r="K765">
        <v>30</v>
      </c>
      <c r="L765" t="s">
        <v>18</v>
      </c>
      <c r="M765" t="s">
        <v>30</v>
      </c>
    </row>
    <row r="766" spans="1:13" x14ac:dyDescent="0.3">
      <c r="A766">
        <v>25</v>
      </c>
      <c r="B766" t="s">
        <v>13</v>
      </c>
      <c r="C766" t="s">
        <v>20</v>
      </c>
      <c r="D766" t="s">
        <v>21</v>
      </c>
      <c r="E766">
        <v>5</v>
      </c>
      <c r="F766">
        <v>0</v>
      </c>
      <c r="G766" t="s">
        <v>28</v>
      </c>
      <c r="H766" t="s">
        <v>32</v>
      </c>
      <c r="I766">
        <v>80000</v>
      </c>
      <c r="K766">
        <v>30</v>
      </c>
      <c r="L766" t="s">
        <v>18</v>
      </c>
      <c r="M766" t="s">
        <v>30</v>
      </c>
    </row>
    <row r="767" spans="1:13" x14ac:dyDescent="0.3">
      <c r="A767">
        <v>31</v>
      </c>
      <c r="B767" t="s">
        <v>13</v>
      </c>
      <c r="C767" t="s">
        <v>301</v>
      </c>
      <c r="D767" t="s">
        <v>52</v>
      </c>
      <c r="E767">
        <v>9</v>
      </c>
      <c r="F767">
        <v>5</v>
      </c>
      <c r="G767" t="s">
        <v>28</v>
      </c>
      <c r="H767" t="s">
        <v>32</v>
      </c>
      <c r="I767">
        <v>60000</v>
      </c>
      <c r="J767">
        <v>65000</v>
      </c>
      <c r="K767">
        <v>30</v>
      </c>
      <c r="L767" t="s">
        <v>18</v>
      </c>
      <c r="M767" t="s">
        <v>30</v>
      </c>
    </row>
    <row r="768" spans="1:13" x14ac:dyDescent="0.3">
      <c r="A768">
        <v>32</v>
      </c>
      <c r="B768" t="s">
        <v>33</v>
      </c>
      <c r="C768" t="s">
        <v>20</v>
      </c>
      <c r="D768" t="s">
        <v>52</v>
      </c>
      <c r="E768">
        <v>10</v>
      </c>
      <c r="F768">
        <v>1.5</v>
      </c>
      <c r="G768" t="s">
        <v>28</v>
      </c>
      <c r="H768" t="s">
        <v>32</v>
      </c>
      <c r="I768">
        <v>68000</v>
      </c>
      <c r="K768">
        <v>30</v>
      </c>
      <c r="L768" t="s">
        <v>18</v>
      </c>
      <c r="M768" t="s">
        <v>30</v>
      </c>
    </row>
    <row r="769" spans="1:13" x14ac:dyDescent="0.3">
      <c r="A769">
        <v>25</v>
      </c>
      <c r="B769" t="s">
        <v>33</v>
      </c>
      <c r="C769" t="s">
        <v>70</v>
      </c>
      <c r="D769" t="s">
        <v>15</v>
      </c>
      <c r="E769">
        <v>3</v>
      </c>
      <c r="F769">
        <v>2</v>
      </c>
      <c r="G769" t="s">
        <v>28</v>
      </c>
      <c r="H769" t="s">
        <v>32</v>
      </c>
      <c r="I769">
        <v>53000</v>
      </c>
      <c r="J769">
        <v>5000</v>
      </c>
      <c r="K769">
        <v>30</v>
      </c>
      <c r="L769" t="s">
        <v>36</v>
      </c>
      <c r="M769" t="s">
        <v>30</v>
      </c>
    </row>
    <row r="770" spans="1:13" x14ac:dyDescent="0.3">
      <c r="A770">
        <v>31</v>
      </c>
      <c r="B770" t="s">
        <v>13</v>
      </c>
      <c r="C770" t="s">
        <v>20</v>
      </c>
      <c r="D770" t="s">
        <v>15</v>
      </c>
      <c r="E770">
        <v>4</v>
      </c>
      <c r="F770">
        <v>2</v>
      </c>
      <c r="G770" t="s">
        <v>28</v>
      </c>
      <c r="H770" t="s">
        <v>32</v>
      </c>
      <c r="I770">
        <v>67000</v>
      </c>
      <c r="J770">
        <v>70500</v>
      </c>
      <c r="K770">
        <v>30</v>
      </c>
      <c r="L770" t="s">
        <v>18</v>
      </c>
      <c r="M770" t="s">
        <v>30</v>
      </c>
    </row>
    <row r="771" spans="1:13" x14ac:dyDescent="0.3">
      <c r="A771">
        <v>32</v>
      </c>
      <c r="B771" t="s">
        <v>13</v>
      </c>
      <c r="C771" t="s">
        <v>14</v>
      </c>
      <c r="D771" t="s">
        <v>15</v>
      </c>
      <c r="E771">
        <v>13</v>
      </c>
      <c r="F771">
        <v>7</v>
      </c>
      <c r="G771" t="s">
        <v>28</v>
      </c>
      <c r="H771" t="s">
        <v>32</v>
      </c>
      <c r="I771">
        <v>95000</v>
      </c>
      <c r="J771">
        <v>35000</v>
      </c>
      <c r="K771">
        <v>30</v>
      </c>
      <c r="L771" t="s">
        <v>18</v>
      </c>
      <c r="M771" t="s">
        <v>30</v>
      </c>
    </row>
    <row r="772" spans="1:13" x14ac:dyDescent="0.3">
      <c r="A772">
        <v>27</v>
      </c>
      <c r="B772" t="s">
        <v>13</v>
      </c>
      <c r="C772" t="s">
        <v>20</v>
      </c>
      <c r="D772" t="s">
        <v>15</v>
      </c>
      <c r="E772">
        <v>6</v>
      </c>
      <c r="F772">
        <v>3</v>
      </c>
      <c r="G772" t="s">
        <v>28</v>
      </c>
      <c r="H772" t="s">
        <v>32</v>
      </c>
      <c r="I772">
        <v>82000</v>
      </c>
      <c r="J772">
        <v>12000</v>
      </c>
      <c r="K772">
        <v>30</v>
      </c>
      <c r="L772" t="s">
        <v>18</v>
      </c>
      <c r="M772" t="s">
        <v>30</v>
      </c>
    </row>
    <row r="773" spans="1:13" x14ac:dyDescent="0.3">
      <c r="A773">
        <v>29</v>
      </c>
      <c r="B773" t="s">
        <v>13</v>
      </c>
      <c r="C773" t="s">
        <v>14</v>
      </c>
      <c r="D773" t="s">
        <v>21</v>
      </c>
      <c r="E773">
        <v>8</v>
      </c>
      <c r="F773">
        <v>4</v>
      </c>
      <c r="G773" t="s">
        <v>16</v>
      </c>
      <c r="H773" t="s">
        <v>32</v>
      </c>
      <c r="I773">
        <v>95000</v>
      </c>
      <c r="J773">
        <v>7000</v>
      </c>
      <c r="K773">
        <v>30</v>
      </c>
      <c r="L773" t="s">
        <v>18</v>
      </c>
      <c r="M773" t="s">
        <v>30</v>
      </c>
    </row>
    <row r="774" spans="1:13" x14ac:dyDescent="0.3">
      <c r="A774">
        <v>29</v>
      </c>
      <c r="B774" t="s">
        <v>13</v>
      </c>
      <c r="C774" t="s">
        <v>20</v>
      </c>
      <c r="D774" t="s">
        <v>21</v>
      </c>
      <c r="E774">
        <v>9</v>
      </c>
      <c r="F774">
        <v>5</v>
      </c>
      <c r="G774" t="s">
        <v>16</v>
      </c>
      <c r="H774" t="s">
        <v>32</v>
      </c>
      <c r="I774">
        <v>85000</v>
      </c>
      <c r="K774">
        <v>30</v>
      </c>
      <c r="L774" t="s">
        <v>18</v>
      </c>
      <c r="M774" t="s">
        <v>30</v>
      </c>
    </row>
    <row r="775" spans="1:13" x14ac:dyDescent="0.3">
      <c r="A775">
        <v>36</v>
      </c>
      <c r="B775" t="s">
        <v>13</v>
      </c>
      <c r="C775" t="s">
        <v>215</v>
      </c>
      <c r="D775" t="s">
        <v>43</v>
      </c>
      <c r="E775">
        <v>14</v>
      </c>
      <c r="F775">
        <v>7</v>
      </c>
      <c r="G775" t="s">
        <v>16</v>
      </c>
      <c r="H775" t="s">
        <v>32</v>
      </c>
      <c r="I775">
        <v>80000</v>
      </c>
      <c r="K775">
        <v>30</v>
      </c>
      <c r="L775" t="s">
        <v>18</v>
      </c>
      <c r="M775" t="s">
        <v>30</v>
      </c>
    </row>
    <row r="776" spans="1:13" x14ac:dyDescent="0.3">
      <c r="A776">
        <v>32</v>
      </c>
      <c r="B776" t="s">
        <v>13</v>
      </c>
      <c r="C776" t="s">
        <v>59</v>
      </c>
      <c r="D776" t="s">
        <v>52</v>
      </c>
      <c r="E776">
        <v>9</v>
      </c>
      <c r="F776">
        <v>9</v>
      </c>
      <c r="G776" t="s">
        <v>16</v>
      </c>
      <c r="H776" t="s">
        <v>32</v>
      </c>
      <c r="I776">
        <v>60000</v>
      </c>
      <c r="J776">
        <v>4700</v>
      </c>
      <c r="K776">
        <v>30</v>
      </c>
      <c r="L776" t="s">
        <v>36</v>
      </c>
      <c r="M776" t="s">
        <v>30</v>
      </c>
    </row>
    <row r="777" spans="1:13" x14ac:dyDescent="0.3">
      <c r="A777">
        <v>39</v>
      </c>
      <c r="B777" t="s">
        <v>13</v>
      </c>
      <c r="C777" t="s">
        <v>20</v>
      </c>
      <c r="D777" t="s">
        <v>52</v>
      </c>
      <c r="E777">
        <v>7</v>
      </c>
      <c r="F777">
        <v>5</v>
      </c>
      <c r="G777" t="s">
        <v>16</v>
      </c>
      <c r="H777" t="s">
        <v>32</v>
      </c>
      <c r="I777">
        <v>76000</v>
      </c>
      <c r="J777">
        <v>3000</v>
      </c>
      <c r="K777">
        <v>30</v>
      </c>
      <c r="L777" t="s">
        <v>18</v>
      </c>
      <c r="M777" t="s">
        <v>30</v>
      </c>
    </row>
    <row r="778" spans="1:13" x14ac:dyDescent="0.3">
      <c r="A778">
        <v>33</v>
      </c>
      <c r="B778" t="s">
        <v>13</v>
      </c>
      <c r="C778" t="s">
        <v>14</v>
      </c>
      <c r="D778" t="s">
        <v>52</v>
      </c>
      <c r="E778">
        <v>5</v>
      </c>
      <c r="F778">
        <v>1</v>
      </c>
      <c r="G778" t="s">
        <v>16</v>
      </c>
      <c r="H778" t="s">
        <v>32</v>
      </c>
      <c r="I778">
        <v>60000</v>
      </c>
      <c r="K778">
        <v>30</v>
      </c>
      <c r="L778" t="s">
        <v>18</v>
      </c>
      <c r="M778" t="s">
        <v>30</v>
      </c>
    </row>
    <row r="779" spans="1:13" x14ac:dyDescent="0.3">
      <c r="A779">
        <v>31</v>
      </c>
      <c r="B779" t="s">
        <v>33</v>
      </c>
      <c r="C779" t="s">
        <v>14</v>
      </c>
      <c r="D779" t="s">
        <v>52</v>
      </c>
      <c r="E779">
        <v>7</v>
      </c>
      <c r="F779">
        <v>3</v>
      </c>
      <c r="G779" t="s">
        <v>16</v>
      </c>
      <c r="H779" t="s">
        <v>32</v>
      </c>
      <c r="I779">
        <v>68000</v>
      </c>
      <c r="K779">
        <v>30</v>
      </c>
      <c r="L779" t="s">
        <v>18</v>
      </c>
      <c r="M779" t="s">
        <v>30</v>
      </c>
    </row>
    <row r="780" spans="1:13" x14ac:dyDescent="0.3">
      <c r="A780">
        <v>40</v>
      </c>
      <c r="B780" t="s">
        <v>13</v>
      </c>
      <c r="C780" t="s">
        <v>70</v>
      </c>
      <c r="D780" t="s">
        <v>15</v>
      </c>
      <c r="E780">
        <v>22</v>
      </c>
      <c r="F780">
        <v>3</v>
      </c>
      <c r="G780" t="s">
        <v>16</v>
      </c>
      <c r="H780" t="s">
        <v>32</v>
      </c>
      <c r="I780">
        <v>72000</v>
      </c>
      <c r="J780">
        <v>5000</v>
      </c>
      <c r="K780">
        <v>30</v>
      </c>
      <c r="L780" t="s">
        <v>36</v>
      </c>
      <c r="M780" t="s">
        <v>30</v>
      </c>
    </row>
    <row r="781" spans="1:13" x14ac:dyDescent="0.3">
      <c r="A781">
        <v>32</v>
      </c>
      <c r="B781" t="s">
        <v>13</v>
      </c>
      <c r="C781" t="s">
        <v>14</v>
      </c>
      <c r="D781" t="s">
        <v>15</v>
      </c>
      <c r="E781">
        <v>10</v>
      </c>
      <c r="F781">
        <v>6</v>
      </c>
      <c r="G781" t="s">
        <v>16</v>
      </c>
      <c r="H781" t="s">
        <v>32</v>
      </c>
      <c r="I781">
        <v>88000</v>
      </c>
      <c r="J781">
        <v>120000</v>
      </c>
      <c r="K781">
        <v>30</v>
      </c>
      <c r="L781" t="s">
        <v>18</v>
      </c>
      <c r="M781" t="s">
        <v>30</v>
      </c>
    </row>
    <row r="782" spans="1:13" x14ac:dyDescent="0.3">
      <c r="A782">
        <v>31</v>
      </c>
      <c r="B782" t="s">
        <v>13</v>
      </c>
      <c r="C782" t="s">
        <v>14</v>
      </c>
      <c r="D782" t="s">
        <v>15</v>
      </c>
      <c r="E782">
        <v>10</v>
      </c>
      <c r="F782">
        <v>2</v>
      </c>
      <c r="G782" t="s">
        <v>16</v>
      </c>
      <c r="H782" t="s">
        <v>32</v>
      </c>
      <c r="I782">
        <v>68000</v>
      </c>
      <c r="K782">
        <v>30</v>
      </c>
      <c r="L782" t="s">
        <v>18</v>
      </c>
      <c r="M782" t="s">
        <v>30</v>
      </c>
    </row>
    <row r="783" spans="1:13" x14ac:dyDescent="0.3">
      <c r="A783">
        <v>30</v>
      </c>
      <c r="B783" t="s">
        <v>13</v>
      </c>
      <c r="C783" t="s">
        <v>20</v>
      </c>
      <c r="D783" t="s">
        <v>15</v>
      </c>
      <c r="E783">
        <v>7</v>
      </c>
      <c r="F783">
        <v>1</v>
      </c>
      <c r="G783" t="s">
        <v>16</v>
      </c>
      <c r="H783" t="s">
        <v>32</v>
      </c>
      <c r="I783">
        <v>86000</v>
      </c>
      <c r="K783">
        <v>30</v>
      </c>
      <c r="L783" t="s">
        <v>18</v>
      </c>
      <c r="M783" t="s">
        <v>30</v>
      </c>
    </row>
    <row r="784" spans="1:13" x14ac:dyDescent="0.3">
      <c r="A784">
        <v>33</v>
      </c>
      <c r="B784" t="s">
        <v>13</v>
      </c>
      <c r="C784" t="s">
        <v>20</v>
      </c>
      <c r="D784" t="s">
        <v>15</v>
      </c>
      <c r="E784">
        <v>7</v>
      </c>
      <c r="F784">
        <v>7</v>
      </c>
      <c r="G784" t="s">
        <v>16</v>
      </c>
      <c r="H784" t="s">
        <v>32</v>
      </c>
      <c r="I784">
        <v>62000</v>
      </c>
      <c r="J784">
        <v>67000</v>
      </c>
      <c r="K784">
        <v>30</v>
      </c>
      <c r="L784" t="s">
        <v>18</v>
      </c>
      <c r="M784" t="s">
        <v>30</v>
      </c>
    </row>
    <row r="785" spans="1:13" x14ac:dyDescent="0.3">
      <c r="A785">
        <v>24</v>
      </c>
      <c r="B785" t="s">
        <v>13</v>
      </c>
      <c r="C785" t="s">
        <v>14</v>
      </c>
      <c r="D785" t="s">
        <v>15</v>
      </c>
      <c r="E785">
        <v>3</v>
      </c>
      <c r="F785">
        <v>2</v>
      </c>
      <c r="G785" t="s">
        <v>28</v>
      </c>
      <c r="H785" t="s">
        <v>32</v>
      </c>
      <c r="I785">
        <v>77600</v>
      </c>
      <c r="J785">
        <v>43500</v>
      </c>
      <c r="K785">
        <v>30</v>
      </c>
      <c r="L785" t="s">
        <v>18</v>
      </c>
      <c r="M785" t="s">
        <v>30</v>
      </c>
    </row>
    <row r="786" spans="1:13" x14ac:dyDescent="0.3">
      <c r="A786">
        <v>42</v>
      </c>
      <c r="B786" t="s">
        <v>13</v>
      </c>
      <c r="C786" t="s">
        <v>257</v>
      </c>
      <c r="D786" t="s">
        <v>15</v>
      </c>
      <c r="E786">
        <v>16</v>
      </c>
      <c r="G786" t="s">
        <v>16</v>
      </c>
      <c r="H786" t="s">
        <v>32</v>
      </c>
      <c r="I786">
        <v>36000</v>
      </c>
      <c r="K786">
        <v>30</v>
      </c>
      <c r="L786" t="s">
        <v>18</v>
      </c>
      <c r="M786" t="s">
        <v>30</v>
      </c>
    </row>
    <row r="787" spans="1:13" x14ac:dyDescent="0.3">
      <c r="A787">
        <v>29</v>
      </c>
      <c r="B787" t="s">
        <v>13</v>
      </c>
      <c r="C787" t="s">
        <v>20</v>
      </c>
      <c r="D787" t="s">
        <v>25</v>
      </c>
      <c r="E787">
        <v>8</v>
      </c>
      <c r="F787">
        <v>5</v>
      </c>
      <c r="G787" t="s">
        <v>62</v>
      </c>
      <c r="H787" t="s">
        <v>55</v>
      </c>
      <c r="I787">
        <v>82500</v>
      </c>
      <c r="J787">
        <v>0</v>
      </c>
      <c r="K787">
        <v>30</v>
      </c>
      <c r="L787" t="s">
        <v>18</v>
      </c>
      <c r="M787" t="s">
        <v>30</v>
      </c>
    </row>
    <row r="788" spans="1:13" x14ac:dyDescent="0.3">
      <c r="A788">
        <v>24</v>
      </c>
      <c r="B788" t="s">
        <v>13</v>
      </c>
      <c r="C788" t="s">
        <v>20</v>
      </c>
      <c r="D788" t="s">
        <v>15</v>
      </c>
      <c r="E788">
        <v>2</v>
      </c>
      <c r="F788">
        <v>2</v>
      </c>
      <c r="G788" t="s">
        <v>26</v>
      </c>
      <c r="H788" t="s">
        <v>55</v>
      </c>
      <c r="I788">
        <v>50000</v>
      </c>
      <c r="J788">
        <v>0</v>
      </c>
      <c r="K788">
        <v>30</v>
      </c>
      <c r="L788" t="s">
        <v>36</v>
      </c>
      <c r="M788" t="s">
        <v>30</v>
      </c>
    </row>
    <row r="789" spans="1:13" x14ac:dyDescent="0.3">
      <c r="A789">
        <v>32</v>
      </c>
      <c r="B789" t="s">
        <v>13</v>
      </c>
      <c r="C789" t="s">
        <v>20</v>
      </c>
      <c r="D789" t="s">
        <v>15</v>
      </c>
      <c r="E789">
        <v>13</v>
      </c>
      <c r="F789">
        <v>5</v>
      </c>
      <c r="G789" t="s">
        <v>24</v>
      </c>
      <c r="H789" t="s">
        <v>55</v>
      </c>
      <c r="I789">
        <v>83000</v>
      </c>
      <c r="J789">
        <v>3000</v>
      </c>
      <c r="K789">
        <v>30</v>
      </c>
      <c r="L789" t="s">
        <v>18</v>
      </c>
      <c r="M789" t="s">
        <v>30</v>
      </c>
    </row>
    <row r="790" spans="1:13" x14ac:dyDescent="0.3">
      <c r="A790">
        <v>39</v>
      </c>
      <c r="B790" t="s">
        <v>13</v>
      </c>
      <c r="C790" t="s">
        <v>20</v>
      </c>
      <c r="D790" t="s">
        <v>15</v>
      </c>
      <c r="E790">
        <v>12</v>
      </c>
      <c r="F790">
        <v>6</v>
      </c>
      <c r="G790" t="s">
        <v>24</v>
      </c>
      <c r="H790" t="s">
        <v>55</v>
      </c>
      <c r="I790">
        <v>82000</v>
      </c>
      <c r="J790">
        <v>2000</v>
      </c>
      <c r="K790">
        <v>30</v>
      </c>
      <c r="L790" t="s">
        <v>18</v>
      </c>
      <c r="M790" t="s">
        <v>30</v>
      </c>
    </row>
    <row r="791" spans="1:13" x14ac:dyDescent="0.3">
      <c r="A791">
        <v>23</v>
      </c>
      <c r="B791" t="s">
        <v>13</v>
      </c>
      <c r="C791" t="s">
        <v>20</v>
      </c>
      <c r="D791" t="s">
        <v>15</v>
      </c>
      <c r="E791">
        <v>3</v>
      </c>
      <c r="F791">
        <v>3</v>
      </c>
      <c r="G791" t="s">
        <v>28</v>
      </c>
      <c r="H791" t="s">
        <v>55</v>
      </c>
      <c r="I791">
        <v>60000</v>
      </c>
      <c r="J791">
        <v>6000</v>
      </c>
      <c r="K791">
        <v>30</v>
      </c>
      <c r="L791" t="s">
        <v>18</v>
      </c>
      <c r="M791" t="s">
        <v>30</v>
      </c>
    </row>
    <row r="792" spans="1:13" x14ac:dyDescent="0.3">
      <c r="A792">
        <v>23</v>
      </c>
      <c r="B792" t="s">
        <v>13</v>
      </c>
      <c r="C792" t="s">
        <v>20</v>
      </c>
      <c r="D792" t="s">
        <v>15</v>
      </c>
      <c r="E792">
        <v>4</v>
      </c>
      <c r="F792">
        <v>1</v>
      </c>
      <c r="G792" t="s">
        <v>28</v>
      </c>
      <c r="H792" t="s">
        <v>55</v>
      </c>
      <c r="I792">
        <v>70500</v>
      </c>
      <c r="J792">
        <v>0</v>
      </c>
      <c r="K792">
        <v>30</v>
      </c>
      <c r="L792" t="s">
        <v>18</v>
      </c>
      <c r="M792" t="s">
        <v>30</v>
      </c>
    </row>
    <row r="793" spans="1:13" x14ac:dyDescent="0.3">
      <c r="A793">
        <v>35</v>
      </c>
      <c r="B793" t="s">
        <v>13</v>
      </c>
      <c r="C793" t="s">
        <v>20</v>
      </c>
      <c r="D793" t="s">
        <v>25</v>
      </c>
      <c r="E793">
        <v>10</v>
      </c>
      <c r="F793">
        <v>3</v>
      </c>
      <c r="G793" t="s">
        <v>16</v>
      </c>
      <c r="H793" t="s">
        <v>55</v>
      </c>
      <c r="I793">
        <v>75000</v>
      </c>
      <c r="K793">
        <v>30</v>
      </c>
      <c r="L793" t="s">
        <v>18</v>
      </c>
      <c r="M793" t="s">
        <v>30</v>
      </c>
    </row>
    <row r="794" spans="1:13" x14ac:dyDescent="0.3">
      <c r="A794">
        <v>29</v>
      </c>
      <c r="B794" t="s">
        <v>13</v>
      </c>
      <c r="C794" t="s">
        <v>20</v>
      </c>
      <c r="D794" t="s">
        <v>25</v>
      </c>
      <c r="E794">
        <v>8</v>
      </c>
      <c r="F794">
        <v>4</v>
      </c>
      <c r="G794" t="s">
        <v>16</v>
      </c>
      <c r="H794" t="s">
        <v>55</v>
      </c>
      <c r="I794">
        <v>69000</v>
      </c>
      <c r="J794">
        <v>74000</v>
      </c>
      <c r="K794">
        <v>30</v>
      </c>
      <c r="L794" t="s">
        <v>18</v>
      </c>
      <c r="M794" t="s">
        <v>30</v>
      </c>
    </row>
    <row r="795" spans="1:13" x14ac:dyDescent="0.3">
      <c r="A795">
        <v>29</v>
      </c>
      <c r="B795" t="s">
        <v>13</v>
      </c>
      <c r="C795" t="s">
        <v>20</v>
      </c>
      <c r="D795" t="s">
        <v>25</v>
      </c>
      <c r="E795">
        <v>9</v>
      </c>
      <c r="F795">
        <v>1</v>
      </c>
      <c r="G795" t="s">
        <v>16</v>
      </c>
      <c r="H795" t="s">
        <v>55</v>
      </c>
      <c r="I795">
        <v>74000</v>
      </c>
      <c r="J795">
        <v>0</v>
      </c>
      <c r="K795">
        <v>30</v>
      </c>
      <c r="L795" t="s">
        <v>18</v>
      </c>
      <c r="M795" t="s">
        <v>30</v>
      </c>
    </row>
    <row r="796" spans="1:13" x14ac:dyDescent="0.3">
      <c r="A796">
        <v>33</v>
      </c>
      <c r="B796" t="s">
        <v>13</v>
      </c>
      <c r="C796" t="s">
        <v>133</v>
      </c>
      <c r="D796" t="s">
        <v>15</v>
      </c>
      <c r="E796">
        <v>9</v>
      </c>
      <c r="F796">
        <v>9</v>
      </c>
      <c r="G796" t="s">
        <v>16</v>
      </c>
      <c r="H796" t="s">
        <v>55</v>
      </c>
      <c r="I796">
        <v>60000</v>
      </c>
      <c r="J796">
        <v>25000</v>
      </c>
      <c r="K796">
        <v>30</v>
      </c>
      <c r="L796" t="s">
        <v>36</v>
      </c>
      <c r="M796" t="s">
        <v>30</v>
      </c>
    </row>
    <row r="797" spans="1:13" x14ac:dyDescent="0.3">
      <c r="A797">
        <v>25</v>
      </c>
      <c r="B797" t="s">
        <v>13</v>
      </c>
      <c r="C797" t="s">
        <v>20</v>
      </c>
      <c r="D797" t="s">
        <v>15</v>
      </c>
      <c r="E797">
        <v>6</v>
      </c>
      <c r="F797">
        <v>3</v>
      </c>
      <c r="G797" t="s">
        <v>16</v>
      </c>
      <c r="H797" t="s">
        <v>55</v>
      </c>
      <c r="I797">
        <v>71750</v>
      </c>
      <c r="J797">
        <v>6000</v>
      </c>
      <c r="K797">
        <v>30</v>
      </c>
      <c r="L797" t="s">
        <v>18</v>
      </c>
      <c r="M797" t="s">
        <v>30</v>
      </c>
    </row>
    <row r="798" spans="1:13" x14ac:dyDescent="0.3">
      <c r="A798">
        <v>32</v>
      </c>
      <c r="B798" t="s">
        <v>13</v>
      </c>
      <c r="C798" t="s">
        <v>20</v>
      </c>
      <c r="D798" t="s">
        <v>52</v>
      </c>
      <c r="E798">
        <v>10</v>
      </c>
      <c r="F798">
        <v>3</v>
      </c>
      <c r="G798" t="s">
        <v>16</v>
      </c>
      <c r="H798" t="s">
        <v>55</v>
      </c>
      <c r="I798">
        <v>81000</v>
      </c>
      <c r="J798">
        <v>45000</v>
      </c>
      <c r="K798">
        <v>30</v>
      </c>
      <c r="L798" t="s">
        <v>18</v>
      </c>
      <c r="M798" t="s">
        <v>30</v>
      </c>
    </row>
    <row r="799" spans="1:13" x14ac:dyDescent="0.3">
      <c r="A799">
        <v>34</v>
      </c>
      <c r="B799" t="s">
        <v>13</v>
      </c>
      <c r="C799" t="s">
        <v>20</v>
      </c>
      <c r="D799" t="s">
        <v>52</v>
      </c>
      <c r="E799">
        <v>10</v>
      </c>
      <c r="F799">
        <v>3</v>
      </c>
      <c r="G799" t="s">
        <v>16</v>
      </c>
      <c r="H799" t="s">
        <v>55</v>
      </c>
      <c r="I799">
        <v>70000</v>
      </c>
      <c r="K799">
        <v>30</v>
      </c>
      <c r="L799" t="s">
        <v>18</v>
      </c>
      <c r="M799" t="s">
        <v>30</v>
      </c>
    </row>
    <row r="800" spans="1:13" x14ac:dyDescent="0.3">
      <c r="A800">
        <v>32</v>
      </c>
      <c r="B800" t="s">
        <v>13</v>
      </c>
      <c r="C800" t="s">
        <v>14</v>
      </c>
      <c r="D800" t="s">
        <v>25</v>
      </c>
      <c r="E800">
        <v>8</v>
      </c>
      <c r="F800">
        <v>2</v>
      </c>
      <c r="G800" t="s">
        <v>16</v>
      </c>
      <c r="H800" t="s">
        <v>55</v>
      </c>
      <c r="I800">
        <v>65000</v>
      </c>
      <c r="J800">
        <v>5000</v>
      </c>
      <c r="K800">
        <v>30</v>
      </c>
      <c r="L800" t="s">
        <v>18</v>
      </c>
      <c r="M800" t="s">
        <v>30</v>
      </c>
    </row>
    <row r="801" spans="1:13" x14ac:dyDescent="0.3">
      <c r="A801">
        <v>30</v>
      </c>
      <c r="B801" t="s">
        <v>13</v>
      </c>
      <c r="C801" t="s">
        <v>14</v>
      </c>
      <c r="D801" t="s">
        <v>43</v>
      </c>
      <c r="E801">
        <v>8</v>
      </c>
      <c r="F801">
        <v>1</v>
      </c>
      <c r="G801" t="s">
        <v>16</v>
      </c>
      <c r="H801" t="s">
        <v>40</v>
      </c>
      <c r="I801">
        <v>66000</v>
      </c>
      <c r="K801">
        <v>30</v>
      </c>
      <c r="L801" t="s">
        <v>18</v>
      </c>
      <c r="M801" t="s">
        <v>30</v>
      </c>
    </row>
    <row r="802" spans="1:13" x14ac:dyDescent="0.3">
      <c r="A802">
        <v>43</v>
      </c>
      <c r="B802" t="s">
        <v>13</v>
      </c>
      <c r="C802" t="s">
        <v>20</v>
      </c>
      <c r="D802" t="s">
        <v>43</v>
      </c>
      <c r="E802">
        <v>5</v>
      </c>
      <c r="F802">
        <v>3</v>
      </c>
      <c r="G802" t="s">
        <v>16</v>
      </c>
      <c r="H802" t="s">
        <v>40</v>
      </c>
      <c r="I802">
        <v>72000</v>
      </c>
      <c r="K802">
        <v>30</v>
      </c>
      <c r="L802" t="s">
        <v>18</v>
      </c>
      <c r="M802" t="s">
        <v>30</v>
      </c>
    </row>
    <row r="803" spans="1:13" x14ac:dyDescent="0.3">
      <c r="A803">
        <v>36</v>
      </c>
      <c r="B803" t="s">
        <v>13</v>
      </c>
      <c r="C803" t="s">
        <v>325</v>
      </c>
      <c r="D803" t="s">
        <v>15</v>
      </c>
      <c r="E803">
        <v>8</v>
      </c>
      <c r="F803">
        <v>8</v>
      </c>
      <c r="G803" t="s">
        <v>16</v>
      </c>
      <c r="H803" t="s">
        <v>40</v>
      </c>
      <c r="I803">
        <v>83000</v>
      </c>
      <c r="K803">
        <v>30</v>
      </c>
      <c r="L803" t="s">
        <v>18</v>
      </c>
      <c r="M803" t="s">
        <v>30</v>
      </c>
    </row>
    <row r="804" spans="1:13" x14ac:dyDescent="0.3">
      <c r="A804">
        <v>35</v>
      </c>
      <c r="B804" t="s">
        <v>13</v>
      </c>
      <c r="C804" t="s">
        <v>14</v>
      </c>
      <c r="D804" t="s">
        <v>27</v>
      </c>
      <c r="E804">
        <v>17</v>
      </c>
      <c r="F804">
        <v>5</v>
      </c>
      <c r="G804" t="s">
        <v>24</v>
      </c>
      <c r="H804" t="s">
        <v>47</v>
      </c>
      <c r="I804">
        <v>72000</v>
      </c>
      <c r="J804">
        <v>8000</v>
      </c>
      <c r="K804">
        <v>30</v>
      </c>
      <c r="L804" t="s">
        <v>18</v>
      </c>
      <c r="M804" t="s">
        <v>30</v>
      </c>
    </row>
    <row r="805" spans="1:13" x14ac:dyDescent="0.3">
      <c r="A805">
        <v>35</v>
      </c>
      <c r="B805" t="s">
        <v>13</v>
      </c>
      <c r="C805" t="s">
        <v>386</v>
      </c>
      <c r="D805" t="s">
        <v>27</v>
      </c>
      <c r="E805">
        <v>17</v>
      </c>
      <c r="F805">
        <v>5</v>
      </c>
      <c r="G805" t="s">
        <v>16</v>
      </c>
      <c r="H805" t="s">
        <v>176</v>
      </c>
      <c r="I805">
        <v>85000</v>
      </c>
      <c r="J805">
        <v>2000</v>
      </c>
      <c r="K805">
        <v>30</v>
      </c>
      <c r="L805" t="s">
        <v>18</v>
      </c>
      <c r="M805" t="s">
        <v>30</v>
      </c>
    </row>
    <row r="806" spans="1:13" x14ac:dyDescent="0.3">
      <c r="A806">
        <v>35</v>
      </c>
      <c r="B806" t="s">
        <v>13</v>
      </c>
      <c r="C806" t="s">
        <v>70</v>
      </c>
      <c r="D806" t="s">
        <v>81</v>
      </c>
      <c r="E806">
        <v>12</v>
      </c>
      <c r="F806">
        <v>10</v>
      </c>
      <c r="G806" t="s">
        <v>16</v>
      </c>
      <c r="H806" t="s">
        <v>82</v>
      </c>
      <c r="I806">
        <v>120000</v>
      </c>
      <c r="J806">
        <v>30000</v>
      </c>
      <c r="K806">
        <v>30</v>
      </c>
      <c r="L806" t="s">
        <v>18</v>
      </c>
      <c r="M806" t="s">
        <v>30</v>
      </c>
    </row>
    <row r="807" spans="1:13" x14ac:dyDescent="0.3">
      <c r="A807">
        <v>28</v>
      </c>
      <c r="B807" t="s">
        <v>13</v>
      </c>
      <c r="C807" t="s">
        <v>14</v>
      </c>
      <c r="D807" t="s">
        <v>127</v>
      </c>
      <c r="E807">
        <v>9</v>
      </c>
      <c r="F807">
        <v>3</v>
      </c>
      <c r="G807" t="s">
        <v>16</v>
      </c>
      <c r="H807" t="s">
        <v>128</v>
      </c>
      <c r="I807">
        <v>61200</v>
      </c>
      <c r="J807">
        <v>7300</v>
      </c>
      <c r="K807">
        <v>30</v>
      </c>
      <c r="L807" t="s">
        <v>18</v>
      </c>
      <c r="M807" t="s">
        <v>30</v>
      </c>
    </row>
    <row r="808" spans="1:13" x14ac:dyDescent="0.3">
      <c r="A808">
        <v>38</v>
      </c>
      <c r="B808" t="s">
        <v>13</v>
      </c>
      <c r="C808" t="s">
        <v>14</v>
      </c>
      <c r="D808" t="s">
        <v>41</v>
      </c>
      <c r="E808">
        <v>12</v>
      </c>
      <c r="F808">
        <v>12</v>
      </c>
      <c r="G808" t="s">
        <v>16</v>
      </c>
      <c r="H808" t="s">
        <v>122</v>
      </c>
      <c r="I808">
        <v>74000</v>
      </c>
      <c r="J808">
        <v>14000</v>
      </c>
      <c r="K808">
        <v>30</v>
      </c>
      <c r="L808" t="s">
        <v>18</v>
      </c>
      <c r="M808" t="s">
        <v>30</v>
      </c>
    </row>
    <row r="809" spans="1:13" x14ac:dyDescent="0.3">
      <c r="A809">
        <v>31</v>
      </c>
      <c r="B809" t="s">
        <v>33</v>
      </c>
      <c r="C809" t="s">
        <v>14</v>
      </c>
      <c r="D809" t="s">
        <v>503</v>
      </c>
      <c r="E809">
        <v>14</v>
      </c>
      <c r="F809">
        <v>7</v>
      </c>
      <c r="G809" t="s">
        <v>28</v>
      </c>
      <c r="I809">
        <v>80000</v>
      </c>
      <c r="K809">
        <v>30</v>
      </c>
      <c r="L809" t="s">
        <v>36</v>
      </c>
      <c r="M809" t="s">
        <v>30</v>
      </c>
    </row>
    <row r="810" spans="1:13" x14ac:dyDescent="0.3">
      <c r="A810">
        <v>38</v>
      </c>
      <c r="B810" t="s">
        <v>13</v>
      </c>
      <c r="C810" t="s">
        <v>20</v>
      </c>
      <c r="D810" t="s">
        <v>21</v>
      </c>
      <c r="E810">
        <v>8</v>
      </c>
      <c r="F810">
        <v>8</v>
      </c>
      <c r="G810" t="s">
        <v>16</v>
      </c>
      <c r="H810" t="s">
        <v>286</v>
      </c>
      <c r="I810">
        <v>64000</v>
      </c>
      <c r="J810">
        <v>73000</v>
      </c>
      <c r="K810">
        <v>30</v>
      </c>
      <c r="L810" t="s">
        <v>36</v>
      </c>
      <c r="M810" t="s">
        <v>30</v>
      </c>
    </row>
    <row r="811" spans="1:13" x14ac:dyDescent="0.3">
      <c r="A811">
        <v>33</v>
      </c>
      <c r="B811" t="s">
        <v>13</v>
      </c>
      <c r="C811" t="s">
        <v>20</v>
      </c>
      <c r="D811" t="s">
        <v>223</v>
      </c>
      <c r="E811">
        <v>10</v>
      </c>
      <c r="F811">
        <v>5</v>
      </c>
      <c r="G811" t="s">
        <v>224</v>
      </c>
      <c r="H811" t="s">
        <v>31</v>
      </c>
      <c r="I811">
        <v>100000</v>
      </c>
      <c r="J811">
        <v>0</v>
      </c>
      <c r="K811">
        <v>30</v>
      </c>
      <c r="L811" t="s">
        <v>18</v>
      </c>
      <c r="M811" t="s">
        <v>30</v>
      </c>
    </row>
    <row r="812" spans="1:13" x14ac:dyDescent="0.3">
      <c r="A812">
        <v>30</v>
      </c>
      <c r="B812" t="s">
        <v>13</v>
      </c>
      <c r="C812" t="s">
        <v>20</v>
      </c>
      <c r="D812" t="s">
        <v>21</v>
      </c>
      <c r="E812">
        <v>10</v>
      </c>
      <c r="F812">
        <v>2</v>
      </c>
      <c r="G812" t="s">
        <v>28</v>
      </c>
      <c r="H812" t="s">
        <v>31</v>
      </c>
      <c r="I812">
        <v>56000</v>
      </c>
      <c r="K812">
        <v>30</v>
      </c>
      <c r="L812" t="s">
        <v>18</v>
      </c>
      <c r="M812" t="s">
        <v>30</v>
      </c>
    </row>
    <row r="813" spans="1:13" x14ac:dyDescent="0.3">
      <c r="A813">
        <v>32</v>
      </c>
      <c r="B813" t="s">
        <v>13</v>
      </c>
      <c r="C813" t="s">
        <v>20</v>
      </c>
      <c r="D813" t="s">
        <v>15</v>
      </c>
      <c r="E813">
        <v>6</v>
      </c>
      <c r="F813">
        <v>0</v>
      </c>
      <c r="G813" t="s">
        <v>28</v>
      </c>
      <c r="H813" t="s">
        <v>31</v>
      </c>
      <c r="I813">
        <v>58000</v>
      </c>
      <c r="K813">
        <v>30</v>
      </c>
      <c r="L813" t="s">
        <v>36</v>
      </c>
      <c r="M813" t="s">
        <v>30</v>
      </c>
    </row>
    <row r="814" spans="1:13" x14ac:dyDescent="0.3">
      <c r="A814">
        <v>29</v>
      </c>
      <c r="B814" t="s">
        <v>13</v>
      </c>
      <c r="C814" t="s">
        <v>14</v>
      </c>
      <c r="D814" t="s">
        <v>15</v>
      </c>
      <c r="E814">
        <v>8</v>
      </c>
      <c r="F814">
        <v>6</v>
      </c>
      <c r="G814" t="s">
        <v>28</v>
      </c>
      <c r="H814" t="s">
        <v>31</v>
      </c>
      <c r="I814">
        <v>75000</v>
      </c>
      <c r="K814">
        <v>30</v>
      </c>
      <c r="L814" t="s">
        <v>18</v>
      </c>
      <c r="M814" t="s">
        <v>30</v>
      </c>
    </row>
    <row r="815" spans="1:13" x14ac:dyDescent="0.3">
      <c r="A815">
        <v>32</v>
      </c>
      <c r="B815" t="s">
        <v>13</v>
      </c>
      <c r="C815" t="s">
        <v>14</v>
      </c>
      <c r="D815" t="s">
        <v>21</v>
      </c>
      <c r="E815">
        <v>11</v>
      </c>
      <c r="F815">
        <v>3.5</v>
      </c>
      <c r="G815" t="s">
        <v>16</v>
      </c>
      <c r="H815" t="s">
        <v>31</v>
      </c>
      <c r="I815">
        <v>81200</v>
      </c>
      <c r="J815">
        <v>81200</v>
      </c>
      <c r="K815">
        <v>30</v>
      </c>
      <c r="L815" t="s">
        <v>18</v>
      </c>
      <c r="M815" t="s">
        <v>30</v>
      </c>
    </row>
    <row r="816" spans="1:13" x14ac:dyDescent="0.3">
      <c r="A816">
        <v>31</v>
      </c>
      <c r="B816" t="s">
        <v>13</v>
      </c>
      <c r="C816" t="s">
        <v>14</v>
      </c>
      <c r="D816" t="s">
        <v>21</v>
      </c>
      <c r="E816">
        <v>11</v>
      </c>
      <c r="F816">
        <v>1</v>
      </c>
      <c r="G816" t="s">
        <v>16</v>
      </c>
      <c r="H816" t="s">
        <v>31</v>
      </c>
      <c r="I816">
        <v>80000</v>
      </c>
      <c r="J816">
        <v>4000</v>
      </c>
      <c r="K816">
        <v>30</v>
      </c>
      <c r="L816" t="s">
        <v>18</v>
      </c>
      <c r="M816" t="s">
        <v>30</v>
      </c>
    </row>
    <row r="817" spans="1:13" x14ac:dyDescent="0.3">
      <c r="A817">
        <v>33</v>
      </c>
      <c r="B817" t="s">
        <v>13</v>
      </c>
      <c r="C817" t="s">
        <v>14</v>
      </c>
      <c r="D817" t="s">
        <v>173</v>
      </c>
      <c r="E817">
        <v>10</v>
      </c>
      <c r="F817">
        <v>4</v>
      </c>
      <c r="G817" t="s">
        <v>16</v>
      </c>
      <c r="H817" t="s">
        <v>31</v>
      </c>
      <c r="I817">
        <v>79000</v>
      </c>
      <c r="J817">
        <v>0</v>
      </c>
      <c r="K817">
        <v>30</v>
      </c>
      <c r="L817" t="s">
        <v>18</v>
      </c>
      <c r="M817" t="s">
        <v>30</v>
      </c>
    </row>
    <row r="818" spans="1:13" x14ac:dyDescent="0.3">
      <c r="A818">
        <v>39</v>
      </c>
      <c r="B818" t="s">
        <v>13</v>
      </c>
      <c r="C818" t="s">
        <v>278</v>
      </c>
      <c r="D818" t="s">
        <v>322</v>
      </c>
      <c r="E818">
        <v>12</v>
      </c>
      <c r="F818">
        <v>4</v>
      </c>
      <c r="G818" t="s">
        <v>16</v>
      </c>
      <c r="H818" t="s">
        <v>31</v>
      </c>
      <c r="I818">
        <v>65000</v>
      </c>
      <c r="J818">
        <v>6000</v>
      </c>
      <c r="K818">
        <v>30</v>
      </c>
      <c r="L818" t="s">
        <v>36</v>
      </c>
      <c r="M818" t="s">
        <v>30</v>
      </c>
    </row>
    <row r="819" spans="1:13" x14ac:dyDescent="0.3">
      <c r="A819">
        <v>36</v>
      </c>
      <c r="B819" t="s">
        <v>13</v>
      </c>
      <c r="C819" t="s">
        <v>14</v>
      </c>
      <c r="D819" t="s">
        <v>15</v>
      </c>
      <c r="E819">
        <v>15</v>
      </c>
      <c r="F819">
        <v>1</v>
      </c>
      <c r="G819" t="s">
        <v>16</v>
      </c>
      <c r="H819" t="s">
        <v>396</v>
      </c>
      <c r="I819">
        <v>68000</v>
      </c>
      <c r="J819">
        <v>3000</v>
      </c>
      <c r="K819">
        <v>30</v>
      </c>
      <c r="L819" t="s">
        <v>18</v>
      </c>
      <c r="M819" t="s">
        <v>30</v>
      </c>
    </row>
    <row r="820" spans="1:13" x14ac:dyDescent="0.3">
      <c r="A820">
        <v>29</v>
      </c>
      <c r="B820" t="s">
        <v>13</v>
      </c>
      <c r="C820" t="s">
        <v>20</v>
      </c>
      <c r="D820" t="s">
        <v>343</v>
      </c>
      <c r="E820">
        <v>6</v>
      </c>
      <c r="F820">
        <v>6</v>
      </c>
      <c r="G820" t="s">
        <v>62</v>
      </c>
      <c r="H820" t="s">
        <v>50</v>
      </c>
      <c r="I820">
        <v>92000</v>
      </c>
      <c r="J820">
        <v>14000</v>
      </c>
      <c r="K820">
        <v>30</v>
      </c>
      <c r="L820" t="s">
        <v>36</v>
      </c>
      <c r="M820" t="s">
        <v>30</v>
      </c>
    </row>
    <row r="821" spans="1:13" x14ac:dyDescent="0.3">
      <c r="A821">
        <v>29</v>
      </c>
      <c r="B821" t="s">
        <v>13</v>
      </c>
      <c r="C821" t="s">
        <v>121</v>
      </c>
      <c r="D821" t="s">
        <v>130</v>
      </c>
      <c r="E821">
        <v>1</v>
      </c>
      <c r="F821">
        <v>1</v>
      </c>
      <c r="G821" t="s">
        <v>26</v>
      </c>
      <c r="H821" t="s">
        <v>50</v>
      </c>
      <c r="I821">
        <v>45000</v>
      </c>
      <c r="J821">
        <v>2000</v>
      </c>
      <c r="K821">
        <v>30</v>
      </c>
      <c r="L821" t="s">
        <v>36</v>
      </c>
      <c r="M821" t="s">
        <v>30</v>
      </c>
    </row>
    <row r="822" spans="1:13" x14ac:dyDescent="0.3">
      <c r="A822">
        <v>27</v>
      </c>
      <c r="B822" t="s">
        <v>13</v>
      </c>
      <c r="C822" t="s">
        <v>20</v>
      </c>
      <c r="D822" t="s">
        <v>35</v>
      </c>
      <c r="E822">
        <v>0</v>
      </c>
      <c r="F822">
        <v>0</v>
      </c>
      <c r="G822" t="s">
        <v>26</v>
      </c>
      <c r="H822" t="s">
        <v>50</v>
      </c>
      <c r="I822">
        <v>40000</v>
      </c>
      <c r="J822">
        <v>0</v>
      </c>
      <c r="K822">
        <v>30</v>
      </c>
      <c r="L822" t="s">
        <v>36</v>
      </c>
      <c r="M822" t="s">
        <v>30</v>
      </c>
    </row>
    <row r="823" spans="1:13" x14ac:dyDescent="0.3">
      <c r="B823" t="s">
        <v>33</v>
      </c>
      <c r="C823" t="s">
        <v>20</v>
      </c>
      <c r="D823" t="s">
        <v>53</v>
      </c>
      <c r="E823">
        <v>1</v>
      </c>
      <c r="F823">
        <v>8</v>
      </c>
      <c r="G823" t="s">
        <v>26</v>
      </c>
      <c r="H823" t="s">
        <v>50</v>
      </c>
      <c r="I823">
        <v>55000</v>
      </c>
      <c r="K823">
        <v>30</v>
      </c>
      <c r="L823" t="s">
        <v>18</v>
      </c>
      <c r="M823" t="s">
        <v>30</v>
      </c>
    </row>
    <row r="824" spans="1:13" x14ac:dyDescent="0.3">
      <c r="A824">
        <v>31</v>
      </c>
      <c r="B824" t="s">
        <v>13</v>
      </c>
      <c r="C824" t="s">
        <v>20</v>
      </c>
      <c r="D824" t="s">
        <v>81</v>
      </c>
      <c r="E824">
        <v>4</v>
      </c>
      <c r="F824">
        <v>4</v>
      </c>
      <c r="G824" t="s">
        <v>26</v>
      </c>
      <c r="H824" t="s">
        <v>50</v>
      </c>
      <c r="I824">
        <v>62000</v>
      </c>
      <c r="J824">
        <v>8000</v>
      </c>
      <c r="K824">
        <v>30</v>
      </c>
      <c r="L824" t="s">
        <v>36</v>
      </c>
      <c r="M824" t="s">
        <v>30</v>
      </c>
    </row>
    <row r="825" spans="1:13" x14ac:dyDescent="0.3">
      <c r="A825">
        <v>31</v>
      </c>
      <c r="B825" t="s">
        <v>13</v>
      </c>
      <c r="C825" t="s">
        <v>163</v>
      </c>
      <c r="D825" t="s">
        <v>53</v>
      </c>
      <c r="E825">
        <v>2.5</v>
      </c>
      <c r="F825">
        <v>0</v>
      </c>
      <c r="G825" t="s">
        <v>24</v>
      </c>
      <c r="H825" t="s">
        <v>50</v>
      </c>
      <c r="I825">
        <v>20000</v>
      </c>
      <c r="J825">
        <v>6500</v>
      </c>
      <c r="K825">
        <v>30</v>
      </c>
      <c r="L825" t="s">
        <v>164</v>
      </c>
      <c r="M825" t="s">
        <v>30</v>
      </c>
    </row>
    <row r="826" spans="1:13" x14ac:dyDescent="0.3">
      <c r="A826">
        <v>37</v>
      </c>
      <c r="B826" t="s">
        <v>13</v>
      </c>
      <c r="C826" t="s">
        <v>307</v>
      </c>
      <c r="D826" t="s">
        <v>81</v>
      </c>
      <c r="E826">
        <v>15</v>
      </c>
      <c r="F826">
        <v>15</v>
      </c>
      <c r="G826" t="s">
        <v>24</v>
      </c>
      <c r="H826" t="s">
        <v>50</v>
      </c>
      <c r="I826">
        <v>80000</v>
      </c>
      <c r="J826">
        <v>15000</v>
      </c>
      <c r="K826">
        <v>30</v>
      </c>
      <c r="L826" t="s">
        <v>18</v>
      </c>
      <c r="M826" t="s">
        <v>30</v>
      </c>
    </row>
    <row r="827" spans="1:13" x14ac:dyDescent="0.3">
      <c r="A827">
        <v>41</v>
      </c>
      <c r="B827" t="s">
        <v>13</v>
      </c>
      <c r="C827" t="s">
        <v>20</v>
      </c>
      <c r="D827" t="s">
        <v>15</v>
      </c>
      <c r="E827">
        <v>19</v>
      </c>
      <c r="F827">
        <v>7</v>
      </c>
      <c r="G827" t="s">
        <v>24</v>
      </c>
      <c r="H827" t="s">
        <v>50</v>
      </c>
      <c r="I827">
        <v>95500</v>
      </c>
      <c r="J827">
        <v>14500</v>
      </c>
      <c r="K827">
        <v>30</v>
      </c>
      <c r="L827" t="s">
        <v>18</v>
      </c>
      <c r="M827" t="s">
        <v>30</v>
      </c>
    </row>
    <row r="828" spans="1:13" x14ac:dyDescent="0.3">
      <c r="A828">
        <v>28</v>
      </c>
      <c r="B828" t="s">
        <v>33</v>
      </c>
      <c r="C828" t="s">
        <v>20</v>
      </c>
      <c r="D828" t="s">
        <v>21</v>
      </c>
      <c r="E828">
        <v>3</v>
      </c>
      <c r="F828">
        <v>2</v>
      </c>
      <c r="G828" t="s">
        <v>28</v>
      </c>
      <c r="H828" t="s">
        <v>50</v>
      </c>
      <c r="I828">
        <v>65000</v>
      </c>
      <c r="J828">
        <v>0</v>
      </c>
      <c r="K828">
        <v>30</v>
      </c>
      <c r="L828" t="s">
        <v>18</v>
      </c>
      <c r="M828" t="s">
        <v>30</v>
      </c>
    </row>
    <row r="829" spans="1:13" x14ac:dyDescent="0.3">
      <c r="A829">
        <v>28</v>
      </c>
      <c r="B829" t="s">
        <v>13</v>
      </c>
      <c r="C829" t="s">
        <v>20</v>
      </c>
      <c r="D829" t="s">
        <v>35</v>
      </c>
      <c r="E829">
        <v>6</v>
      </c>
      <c r="F829">
        <v>1.5</v>
      </c>
      <c r="G829" t="s">
        <v>28</v>
      </c>
      <c r="H829" t="s">
        <v>50</v>
      </c>
      <c r="I829">
        <v>83000</v>
      </c>
      <c r="J829">
        <v>0</v>
      </c>
      <c r="K829">
        <v>30</v>
      </c>
      <c r="L829" t="s">
        <v>18</v>
      </c>
      <c r="M829" t="s">
        <v>30</v>
      </c>
    </row>
    <row r="830" spans="1:13" x14ac:dyDescent="0.3">
      <c r="A830">
        <v>33</v>
      </c>
      <c r="B830" t="s">
        <v>13</v>
      </c>
      <c r="C830" t="s">
        <v>229</v>
      </c>
      <c r="D830" t="s">
        <v>53</v>
      </c>
      <c r="E830">
        <v>2</v>
      </c>
      <c r="F830">
        <v>2</v>
      </c>
      <c r="G830" t="s">
        <v>28</v>
      </c>
      <c r="H830" t="s">
        <v>50</v>
      </c>
      <c r="I830">
        <v>54000</v>
      </c>
      <c r="J830">
        <v>0</v>
      </c>
      <c r="K830">
        <v>30</v>
      </c>
      <c r="L830" t="s">
        <v>18</v>
      </c>
      <c r="M830" t="s">
        <v>30</v>
      </c>
    </row>
    <row r="831" spans="1:13" x14ac:dyDescent="0.3">
      <c r="A831">
        <v>29</v>
      </c>
      <c r="B831" t="s">
        <v>13</v>
      </c>
      <c r="C831" t="s">
        <v>160</v>
      </c>
      <c r="D831" t="s">
        <v>53</v>
      </c>
      <c r="E831">
        <v>2</v>
      </c>
      <c r="F831">
        <v>2</v>
      </c>
      <c r="G831" t="s">
        <v>28</v>
      </c>
      <c r="H831" t="s">
        <v>50</v>
      </c>
      <c r="I831">
        <v>55200</v>
      </c>
      <c r="J831">
        <v>0</v>
      </c>
      <c r="K831">
        <v>30</v>
      </c>
      <c r="L831" t="s">
        <v>18</v>
      </c>
      <c r="M831" t="s">
        <v>30</v>
      </c>
    </row>
    <row r="832" spans="1:13" x14ac:dyDescent="0.3">
      <c r="A832">
        <v>38</v>
      </c>
      <c r="B832" t="s">
        <v>33</v>
      </c>
      <c r="C832" t="s">
        <v>313</v>
      </c>
      <c r="D832" t="s">
        <v>81</v>
      </c>
      <c r="E832">
        <v>3</v>
      </c>
      <c r="F832">
        <v>3</v>
      </c>
      <c r="G832" t="s">
        <v>28</v>
      </c>
      <c r="H832" t="s">
        <v>50</v>
      </c>
      <c r="I832">
        <v>65000</v>
      </c>
      <c r="K832">
        <v>30</v>
      </c>
      <c r="L832" t="s">
        <v>36</v>
      </c>
      <c r="M832" t="s">
        <v>30</v>
      </c>
    </row>
    <row r="833" spans="1:13" x14ac:dyDescent="0.3">
      <c r="A833">
        <v>25</v>
      </c>
      <c r="B833" t="s">
        <v>13</v>
      </c>
      <c r="C833" t="s">
        <v>14</v>
      </c>
      <c r="D833" t="s">
        <v>81</v>
      </c>
      <c r="E833">
        <v>1</v>
      </c>
      <c r="F833">
        <v>1</v>
      </c>
      <c r="G833" t="s">
        <v>28</v>
      </c>
      <c r="H833" t="s">
        <v>50</v>
      </c>
      <c r="I833">
        <v>65000</v>
      </c>
      <c r="J833">
        <v>2000</v>
      </c>
      <c r="K833">
        <v>30</v>
      </c>
      <c r="L833" t="s">
        <v>18</v>
      </c>
      <c r="M833" t="s">
        <v>30</v>
      </c>
    </row>
    <row r="834" spans="1:13" x14ac:dyDescent="0.3">
      <c r="A834">
        <v>27</v>
      </c>
      <c r="B834" t="s">
        <v>13</v>
      </c>
      <c r="C834" t="s">
        <v>14</v>
      </c>
      <c r="D834" t="s">
        <v>52</v>
      </c>
      <c r="E834">
        <v>6</v>
      </c>
      <c r="F834">
        <v>4</v>
      </c>
      <c r="G834" t="s">
        <v>28</v>
      </c>
      <c r="H834" t="s">
        <v>50</v>
      </c>
      <c r="I834">
        <v>70000</v>
      </c>
      <c r="J834">
        <v>75000</v>
      </c>
      <c r="K834">
        <v>30</v>
      </c>
      <c r="L834" t="s">
        <v>18</v>
      </c>
      <c r="M834" t="s">
        <v>30</v>
      </c>
    </row>
    <row r="835" spans="1:13" x14ac:dyDescent="0.3">
      <c r="A835">
        <v>42</v>
      </c>
      <c r="B835" t="s">
        <v>33</v>
      </c>
      <c r="C835" t="s">
        <v>20</v>
      </c>
      <c r="D835" t="s">
        <v>52</v>
      </c>
      <c r="E835">
        <v>20</v>
      </c>
      <c r="F835">
        <v>1</v>
      </c>
      <c r="G835" t="s">
        <v>28</v>
      </c>
      <c r="H835" t="s">
        <v>50</v>
      </c>
      <c r="I835">
        <v>55000</v>
      </c>
      <c r="K835">
        <v>30</v>
      </c>
      <c r="L835" t="s">
        <v>18</v>
      </c>
      <c r="M835" t="s">
        <v>30</v>
      </c>
    </row>
    <row r="836" spans="1:13" x14ac:dyDescent="0.3">
      <c r="A836">
        <v>30</v>
      </c>
      <c r="B836" t="s">
        <v>33</v>
      </c>
      <c r="C836" t="s">
        <v>20</v>
      </c>
      <c r="D836" t="s">
        <v>15</v>
      </c>
      <c r="E836">
        <v>4</v>
      </c>
      <c r="F836">
        <v>4</v>
      </c>
      <c r="G836" t="s">
        <v>28</v>
      </c>
      <c r="H836" t="s">
        <v>50</v>
      </c>
      <c r="I836">
        <v>56000</v>
      </c>
      <c r="K836">
        <v>30</v>
      </c>
      <c r="L836" t="s">
        <v>18</v>
      </c>
      <c r="M836" t="s">
        <v>30</v>
      </c>
    </row>
    <row r="837" spans="1:13" x14ac:dyDescent="0.3">
      <c r="A837">
        <v>36</v>
      </c>
      <c r="B837" t="s">
        <v>13</v>
      </c>
      <c r="C837" t="s">
        <v>20</v>
      </c>
      <c r="D837" t="s">
        <v>21</v>
      </c>
      <c r="E837">
        <v>12</v>
      </c>
      <c r="F837">
        <v>0.5</v>
      </c>
      <c r="G837" t="s">
        <v>16</v>
      </c>
      <c r="H837" t="s">
        <v>50</v>
      </c>
      <c r="I837">
        <v>100000</v>
      </c>
      <c r="J837">
        <v>15000</v>
      </c>
      <c r="K837">
        <v>30</v>
      </c>
      <c r="L837" t="s">
        <v>18</v>
      </c>
      <c r="M837" t="s">
        <v>30</v>
      </c>
    </row>
    <row r="838" spans="1:13" x14ac:dyDescent="0.3">
      <c r="A838">
        <v>35</v>
      </c>
      <c r="B838" t="s">
        <v>13</v>
      </c>
      <c r="C838" t="s">
        <v>20</v>
      </c>
      <c r="D838" t="s">
        <v>154</v>
      </c>
      <c r="E838">
        <v>16</v>
      </c>
      <c r="F838">
        <v>6</v>
      </c>
      <c r="G838" t="s">
        <v>16</v>
      </c>
      <c r="H838" t="s">
        <v>50</v>
      </c>
      <c r="I838">
        <v>100000</v>
      </c>
      <c r="J838">
        <v>30000</v>
      </c>
      <c r="K838">
        <v>30</v>
      </c>
      <c r="L838" t="s">
        <v>18</v>
      </c>
      <c r="M838" t="s">
        <v>30</v>
      </c>
    </row>
    <row r="839" spans="1:13" x14ac:dyDescent="0.3">
      <c r="A839">
        <v>32</v>
      </c>
      <c r="B839" t="s">
        <v>33</v>
      </c>
      <c r="C839" t="s">
        <v>84</v>
      </c>
      <c r="D839" t="s">
        <v>53</v>
      </c>
      <c r="E839">
        <v>4</v>
      </c>
      <c r="F839">
        <v>4</v>
      </c>
      <c r="G839" t="s">
        <v>16</v>
      </c>
      <c r="H839" t="s">
        <v>50</v>
      </c>
      <c r="I839">
        <v>85000</v>
      </c>
      <c r="J839">
        <v>88000</v>
      </c>
      <c r="K839">
        <v>30</v>
      </c>
      <c r="L839" t="s">
        <v>18</v>
      </c>
      <c r="M839" t="s">
        <v>30</v>
      </c>
    </row>
    <row r="840" spans="1:13" x14ac:dyDescent="0.3">
      <c r="A840">
        <v>36</v>
      </c>
      <c r="B840" t="s">
        <v>33</v>
      </c>
      <c r="C840" t="s">
        <v>20</v>
      </c>
      <c r="D840" t="s">
        <v>53</v>
      </c>
      <c r="E840">
        <v>5</v>
      </c>
      <c r="F840">
        <v>5</v>
      </c>
      <c r="G840" t="s">
        <v>16</v>
      </c>
      <c r="H840" t="s">
        <v>50</v>
      </c>
      <c r="I840">
        <v>87000</v>
      </c>
      <c r="J840">
        <v>15000</v>
      </c>
      <c r="K840">
        <v>30</v>
      </c>
      <c r="L840" t="s">
        <v>18</v>
      </c>
      <c r="M840" t="s">
        <v>30</v>
      </c>
    </row>
    <row r="841" spans="1:13" x14ac:dyDescent="0.3">
      <c r="A841">
        <v>42</v>
      </c>
      <c r="B841" t="s">
        <v>13</v>
      </c>
      <c r="C841" t="s">
        <v>20</v>
      </c>
      <c r="D841" t="s">
        <v>81</v>
      </c>
      <c r="E841">
        <v>20</v>
      </c>
      <c r="F841">
        <v>20</v>
      </c>
      <c r="G841" t="s">
        <v>16</v>
      </c>
      <c r="H841" t="s">
        <v>50</v>
      </c>
      <c r="I841">
        <v>80000</v>
      </c>
      <c r="K841">
        <v>30</v>
      </c>
      <c r="L841" t="s">
        <v>36</v>
      </c>
      <c r="M841" t="s">
        <v>30</v>
      </c>
    </row>
    <row r="842" spans="1:13" x14ac:dyDescent="0.3">
      <c r="A842">
        <v>31</v>
      </c>
      <c r="B842" t="s">
        <v>13</v>
      </c>
      <c r="C842" t="s">
        <v>117</v>
      </c>
      <c r="D842" t="s">
        <v>52</v>
      </c>
      <c r="E842">
        <v>6</v>
      </c>
      <c r="F842">
        <v>3</v>
      </c>
      <c r="G842" t="s">
        <v>16</v>
      </c>
      <c r="H842" t="s">
        <v>50</v>
      </c>
      <c r="I842">
        <v>53000</v>
      </c>
      <c r="J842">
        <v>0</v>
      </c>
      <c r="K842">
        <v>30</v>
      </c>
      <c r="L842" t="s">
        <v>18</v>
      </c>
      <c r="M842" t="s">
        <v>30</v>
      </c>
    </row>
    <row r="843" spans="1:13" x14ac:dyDescent="0.3">
      <c r="A843">
        <v>39</v>
      </c>
      <c r="B843" t="s">
        <v>13</v>
      </c>
      <c r="C843" t="s">
        <v>14</v>
      </c>
      <c r="D843" t="s">
        <v>15</v>
      </c>
      <c r="E843">
        <v>8</v>
      </c>
      <c r="F843">
        <v>7</v>
      </c>
      <c r="G843" t="s">
        <v>16</v>
      </c>
      <c r="H843" t="s">
        <v>50</v>
      </c>
      <c r="I843">
        <v>130000</v>
      </c>
      <c r="J843">
        <v>50000</v>
      </c>
      <c r="K843">
        <v>30</v>
      </c>
      <c r="L843" t="s">
        <v>18</v>
      </c>
      <c r="M843" t="s">
        <v>30</v>
      </c>
    </row>
    <row r="844" spans="1:13" x14ac:dyDescent="0.3">
      <c r="A844">
        <v>31</v>
      </c>
      <c r="B844" t="s">
        <v>13</v>
      </c>
      <c r="C844" t="s">
        <v>20</v>
      </c>
      <c r="D844" t="s">
        <v>15</v>
      </c>
      <c r="E844">
        <v>9</v>
      </c>
      <c r="F844">
        <v>4</v>
      </c>
      <c r="G844" t="s">
        <v>16</v>
      </c>
      <c r="H844" t="s">
        <v>50</v>
      </c>
      <c r="I844">
        <v>90000</v>
      </c>
      <c r="K844">
        <v>30</v>
      </c>
      <c r="L844" t="s">
        <v>18</v>
      </c>
      <c r="M844" t="s">
        <v>30</v>
      </c>
    </row>
    <row r="845" spans="1:13" x14ac:dyDescent="0.3">
      <c r="A845">
        <v>25</v>
      </c>
      <c r="B845" t="s">
        <v>13</v>
      </c>
      <c r="C845" t="s">
        <v>59</v>
      </c>
      <c r="D845" t="s">
        <v>53</v>
      </c>
      <c r="E845">
        <v>0</v>
      </c>
      <c r="F845">
        <v>0</v>
      </c>
      <c r="G845" t="s">
        <v>26</v>
      </c>
      <c r="H845" t="s">
        <v>50</v>
      </c>
      <c r="I845">
        <v>58000</v>
      </c>
      <c r="K845">
        <v>30</v>
      </c>
      <c r="L845" t="s">
        <v>36</v>
      </c>
      <c r="M845" t="s">
        <v>30</v>
      </c>
    </row>
    <row r="846" spans="1:13" x14ac:dyDescent="0.3">
      <c r="A846">
        <v>42</v>
      </c>
      <c r="B846" t="s">
        <v>13</v>
      </c>
      <c r="C846" t="s">
        <v>34</v>
      </c>
      <c r="D846" t="s">
        <v>53</v>
      </c>
      <c r="E846">
        <v>2</v>
      </c>
      <c r="F846">
        <v>2</v>
      </c>
      <c r="G846" t="s">
        <v>16</v>
      </c>
      <c r="H846" t="s">
        <v>50</v>
      </c>
      <c r="I846">
        <v>80000</v>
      </c>
      <c r="J846">
        <v>7000</v>
      </c>
      <c r="K846">
        <v>30</v>
      </c>
      <c r="L846" t="s">
        <v>36</v>
      </c>
      <c r="M846" t="s">
        <v>30</v>
      </c>
    </row>
    <row r="847" spans="1:13" x14ac:dyDescent="0.3">
      <c r="A847">
        <v>32</v>
      </c>
      <c r="B847" t="s">
        <v>33</v>
      </c>
      <c r="C847" t="s">
        <v>14</v>
      </c>
      <c r="D847" t="s">
        <v>53</v>
      </c>
      <c r="E847">
        <v>5</v>
      </c>
      <c r="F847">
        <v>5</v>
      </c>
      <c r="G847" t="s">
        <v>16</v>
      </c>
      <c r="H847" t="s">
        <v>50</v>
      </c>
      <c r="I847">
        <v>80000</v>
      </c>
      <c r="J847">
        <v>0</v>
      </c>
      <c r="K847">
        <v>30</v>
      </c>
      <c r="L847" t="s">
        <v>36</v>
      </c>
      <c r="M847" t="s">
        <v>30</v>
      </c>
    </row>
    <row r="848" spans="1:13" x14ac:dyDescent="0.3">
      <c r="A848">
        <v>30</v>
      </c>
      <c r="B848" t="s">
        <v>33</v>
      </c>
      <c r="C848" t="s">
        <v>84</v>
      </c>
      <c r="D848" t="s">
        <v>53</v>
      </c>
      <c r="E848">
        <v>8</v>
      </c>
      <c r="F848">
        <v>7</v>
      </c>
      <c r="G848" t="s">
        <v>16</v>
      </c>
      <c r="H848" t="s">
        <v>50</v>
      </c>
      <c r="I848">
        <v>85000</v>
      </c>
      <c r="J848">
        <v>7000</v>
      </c>
      <c r="K848">
        <v>30</v>
      </c>
      <c r="L848" t="s">
        <v>327</v>
      </c>
      <c r="M848" t="s">
        <v>30</v>
      </c>
    </row>
    <row r="849" spans="1:13" x14ac:dyDescent="0.3">
      <c r="A849">
        <v>26</v>
      </c>
      <c r="B849" t="s">
        <v>13</v>
      </c>
      <c r="C849" t="s">
        <v>215</v>
      </c>
      <c r="D849" t="s">
        <v>81</v>
      </c>
      <c r="E849">
        <v>2.5</v>
      </c>
      <c r="F849">
        <v>0</v>
      </c>
      <c r="G849" t="s">
        <v>28</v>
      </c>
      <c r="H849" t="s">
        <v>50</v>
      </c>
      <c r="I849">
        <v>60000</v>
      </c>
      <c r="J849">
        <v>60000</v>
      </c>
      <c r="K849">
        <v>30</v>
      </c>
      <c r="L849" t="s">
        <v>18</v>
      </c>
      <c r="M849" t="s">
        <v>30</v>
      </c>
    </row>
    <row r="850" spans="1:13" x14ac:dyDescent="0.3">
      <c r="A850">
        <v>34</v>
      </c>
      <c r="B850" t="s">
        <v>33</v>
      </c>
      <c r="C850" t="s">
        <v>373</v>
      </c>
      <c r="D850" t="s">
        <v>52</v>
      </c>
      <c r="E850">
        <v>11</v>
      </c>
      <c r="F850">
        <v>2</v>
      </c>
      <c r="G850" t="s">
        <v>16</v>
      </c>
      <c r="H850" t="s">
        <v>162</v>
      </c>
      <c r="I850">
        <v>60000</v>
      </c>
      <c r="J850">
        <v>2000</v>
      </c>
      <c r="K850">
        <v>30</v>
      </c>
      <c r="L850" t="s">
        <v>36</v>
      </c>
      <c r="M850" t="s">
        <v>30</v>
      </c>
    </row>
    <row r="851" spans="1:13" x14ac:dyDescent="0.3">
      <c r="A851">
        <v>39</v>
      </c>
      <c r="B851" t="s">
        <v>13</v>
      </c>
      <c r="C851" t="s">
        <v>14</v>
      </c>
      <c r="D851" t="s">
        <v>131</v>
      </c>
      <c r="E851">
        <v>5</v>
      </c>
      <c r="F851">
        <v>5</v>
      </c>
      <c r="G851" t="s">
        <v>28</v>
      </c>
      <c r="H851" t="s">
        <v>526</v>
      </c>
      <c r="I851">
        <v>56000</v>
      </c>
      <c r="J851">
        <v>17000</v>
      </c>
      <c r="K851">
        <v>30</v>
      </c>
      <c r="L851" t="s">
        <v>36</v>
      </c>
      <c r="M851" t="s">
        <v>30</v>
      </c>
    </row>
    <row r="852" spans="1:13" x14ac:dyDescent="0.3">
      <c r="A852">
        <v>31</v>
      </c>
      <c r="B852" t="s">
        <v>33</v>
      </c>
      <c r="C852" t="s">
        <v>59</v>
      </c>
      <c r="D852" t="s">
        <v>53</v>
      </c>
      <c r="E852">
        <v>4</v>
      </c>
      <c r="F852">
        <v>2</v>
      </c>
      <c r="G852" t="s">
        <v>28</v>
      </c>
      <c r="H852" t="s">
        <v>124</v>
      </c>
      <c r="I852">
        <v>65000</v>
      </c>
      <c r="J852">
        <v>73000</v>
      </c>
      <c r="K852">
        <v>30</v>
      </c>
      <c r="L852" t="s">
        <v>36</v>
      </c>
      <c r="M852" t="s">
        <v>30</v>
      </c>
    </row>
    <row r="853" spans="1:13" x14ac:dyDescent="0.3">
      <c r="A853">
        <v>29</v>
      </c>
      <c r="B853" t="s">
        <v>13</v>
      </c>
      <c r="C853" t="s">
        <v>14</v>
      </c>
      <c r="D853" t="s">
        <v>15</v>
      </c>
      <c r="E853">
        <v>4</v>
      </c>
      <c r="F853">
        <v>4</v>
      </c>
      <c r="G853" t="s">
        <v>28</v>
      </c>
      <c r="H853" t="s">
        <v>124</v>
      </c>
      <c r="I853">
        <v>78000</v>
      </c>
      <c r="J853">
        <v>4000</v>
      </c>
      <c r="K853">
        <v>30</v>
      </c>
      <c r="L853" t="s">
        <v>18</v>
      </c>
      <c r="M853" t="s">
        <v>30</v>
      </c>
    </row>
    <row r="854" spans="1:13" x14ac:dyDescent="0.3">
      <c r="A854">
        <v>39</v>
      </c>
      <c r="B854" t="s">
        <v>13</v>
      </c>
      <c r="C854" t="s">
        <v>34</v>
      </c>
      <c r="D854" t="s">
        <v>53</v>
      </c>
      <c r="E854">
        <v>10</v>
      </c>
      <c r="F854">
        <v>10</v>
      </c>
      <c r="G854" t="s">
        <v>16</v>
      </c>
      <c r="H854" t="s">
        <v>124</v>
      </c>
      <c r="I854">
        <v>80000</v>
      </c>
      <c r="J854">
        <v>0</v>
      </c>
      <c r="K854">
        <v>30</v>
      </c>
      <c r="L854" t="s">
        <v>18</v>
      </c>
      <c r="M854" t="s">
        <v>30</v>
      </c>
    </row>
    <row r="855" spans="1:13" x14ac:dyDescent="0.3">
      <c r="A855">
        <v>56</v>
      </c>
      <c r="B855" t="s">
        <v>13</v>
      </c>
      <c r="C855" t="s">
        <v>123</v>
      </c>
      <c r="D855" t="s">
        <v>15</v>
      </c>
      <c r="E855">
        <v>9</v>
      </c>
      <c r="F855">
        <v>9</v>
      </c>
      <c r="G855" t="s">
        <v>16</v>
      </c>
      <c r="H855" t="s">
        <v>124</v>
      </c>
      <c r="I855">
        <v>75000</v>
      </c>
      <c r="K855">
        <v>30</v>
      </c>
      <c r="L855" t="s">
        <v>36</v>
      </c>
      <c r="M855" t="s">
        <v>30</v>
      </c>
    </row>
    <row r="856" spans="1:13" x14ac:dyDescent="0.3">
      <c r="A856">
        <v>31</v>
      </c>
      <c r="B856" t="s">
        <v>33</v>
      </c>
      <c r="C856" t="s">
        <v>20</v>
      </c>
      <c r="D856" t="s">
        <v>15</v>
      </c>
      <c r="E856">
        <v>1</v>
      </c>
      <c r="F856">
        <v>1</v>
      </c>
      <c r="G856" t="s">
        <v>26</v>
      </c>
      <c r="H856" t="s">
        <v>56</v>
      </c>
      <c r="I856">
        <v>57000</v>
      </c>
      <c r="J856">
        <v>1000</v>
      </c>
      <c r="K856">
        <v>30</v>
      </c>
      <c r="L856" t="s">
        <v>18</v>
      </c>
      <c r="M856" t="s">
        <v>30</v>
      </c>
    </row>
    <row r="857" spans="1:13" x14ac:dyDescent="0.3">
      <c r="A857">
        <v>34</v>
      </c>
      <c r="B857" t="s">
        <v>33</v>
      </c>
      <c r="C857" t="s">
        <v>20</v>
      </c>
      <c r="D857" t="s">
        <v>52</v>
      </c>
      <c r="E857">
        <v>6</v>
      </c>
      <c r="F857">
        <v>2</v>
      </c>
      <c r="G857" t="s">
        <v>16</v>
      </c>
      <c r="H857" t="s">
        <v>22</v>
      </c>
      <c r="I857">
        <v>67500</v>
      </c>
      <c r="J857">
        <v>0</v>
      </c>
      <c r="K857">
        <v>30</v>
      </c>
      <c r="L857" t="s">
        <v>18</v>
      </c>
      <c r="M857" t="s">
        <v>30</v>
      </c>
    </row>
    <row r="858" spans="1:13" x14ac:dyDescent="0.3">
      <c r="A858">
        <v>30</v>
      </c>
      <c r="B858" t="s">
        <v>13</v>
      </c>
      <c r="C858" t="s">
        <v>20</v>
      </c>
      <c r="D858" t="s">
        <v>15</v>
      </c>
      <c r="E858">
        <v>10</v>
      </c>
      <c r="F858">
        <v>6</v>
      </c>
      <c r="G858" t="s">
        <v>16</v>
      </c>
      <c r="H858" t="s">
        <v>22</v>
      </c>
      <c r="I858">
        <v>90000</v>
      </c>
      <c r="J858">
        <v>30000</v>
      </c>
      <c r="K858">
        <v>30</v>
      </c>
      <c r="L858" t="s">
        <v>18</v>
      </c>
      <c r="M858" t="s">
        <v>30</v>
      </c>
    </row>
    <row r="859" spans="1:13" x14ac:dyDescent="0.3">
      <c r="A859">
        <v>32</v>
      </c>
      <c r="B859" t="s">
        <v>13</v>
      </c>
      <c r="C859" t="s">
        <v>14</v>
      </c>
      <c r="D859" t="s">
        <v>410</v>
      </c>
      <c r="E859">
        <v>10</v>
      </c>
      <c r="F859">
        <v>6</v>
      </c>
      <c r="G859" t="s">
        <v>24</v>
      </c>
      <c r="H859" t="s">
        <v>398</v>
      </c>
      <c r="I859">
        <v>130000</v>
      </c>
      <c r="K859">
        <v>30</v>
      </c>
      <c r="L859" t="s">
        <v>18</v>
      </c>
      <c r="M859" t="s">
        <v>30</v>
      </c>
    </row>
    <row r="860" spans="1:13" x14ac:dyDescent="0.3">
      <c r="A860">
        <v>40</v>
      </c>
      <c r="B860" t="s">
        <v>13</v>
      </c>
      <c r="C860" t="s">
        <v>216</v>
      </c>
      <c r="D860" t="s">
        <v>217</v>
      </c>
      <c r="E860">
        <v>11</v>
      </c>
      <c r="F860">
        <v>11</v>
      </c>
      <c r="G860" t="s">
        <v>16</v>
      </c>
      <c r="H860" t="s">
        <v>398</v>
      </c>
      <c r="I860">
        <v>75000</v>
      </c>
      <c r="J860">
        <v>5000</v>
      </c>
      <c r="K860">
        <v>30</v>
      </c>
      <c r="L860" t="s">
        <v>36</v>
      </c>
      <c r="M860" t="s">
        <v>30</v>
      </c>
    </row>
    <row r="861" spans="1:13" x14ac:dyDescent="0.3">
      <c r="A861">
        <v>35</v>
      </c>
      <c r="B861" t="s">
        <v>33</v>
      </c>
      <c r="C861" t="s">
        <v>14</v>
      </c>
      <c r="D861" t="s">
        <v>53</v>
      </c>
      <c r="E861">
        <v>5</v>
      </c>
      <c r="F861">
        <v>2</v>
      </c>
      <c r="G861" t="s">
        <v>16</v>
      </c>
      <c r="H861" t="s">
        <v>527</v>
      </c>
      <c r="I861">
        <v>75000</v>
      </c>
      <c r="J861">
        <v>10000</v>
      </c>
      <c r="K861">
        <v>30</v>
      </c>
      <c r="L861" t="s">
        <v>18</v>
      </c>
      <c r="M861" t="s">
        <v>30</v>
      </c>
    </row>
    <row r="862" spans="1:13" x14ac:dyDescent="0.3">
      <c r="A862">
        <v>25</v>
      </c>
      <c r="B862" t="s">
        <v>13</v>
      </c>
      <c r="C862" t="s">
        <v>20</v>
      </c>
      <c r="D862" t="s">
        <v>81</v>
      </c>
      <c r="E862">
        <v>5</v>
      </c>
      <c r="F862">
        <v>0.5</v>
      </c>
      <c r="G862" t="s">
        <v>28</v>
      </c>
      <c r="H862" t="s">
        <v>71</v>
      </c>
      <c r="I862">
        <v>65000</v>
      </c>
      <c r="J862">
        <v>2000</v>
      </c>
      <c r="K862">
        <v>30</v>
      </c>
      <c r="L862" t="s">
        <v>18</v>
      </c>
      <c r="M862" t="s">
        <v>30</v>
      </c>
    </row>
    <row r="863" spans="1:13" x14ac:dyDescent="0.3">
      <c r="A863">
        <v>25</v>
      </c>
      <c r="B863" t="s">
        <v>13</v>
      </c>
      <c r="C863" t="s">
        <v>20</v>
      </c>
      <c r="D863" t="s">
        <v>15</v>
      </c>
      <c r="E863">
        <v>6</v>
      </c>
      <c r="F863">
        <v>0</v>
      </c>
      <c r="G863" t="s">
        <v>28</v>
      </c>
      <c r="H863" t="s">
        <v>71</v>
      </c>
      <c r="I863">
        <v>65000</v>
      </c>
      <c r="J863">
        <v>1000</v>
      </c>
      <c r="K863">
        <v>30</v>
      </c>
      <c r="L863" t="s">
        <v>18</v>
      </c>
      <c r="M863" t="s">
        <v>30</v>
      </c>
    </row>
    <row r="864" spans="1:13" x14ac:dyDescent="0.3">
      <c r="A864">
        <v>37</v>
      </c>
      <c r="B864" t="s">
        <v>13</v>
      </c>
      <c r="C864" t="s">
        <v>20</v>
      </c>
      <c r="D864" t="s">
        <v>15</v>
      </c>
      <c r="E864">
        <v>15</v>
      </c>
      <c r="F864">
        <v>3</v>
      </c>
      <c r="G864" t="s">
        <v>16</v>
      </c>
      <c r="H864" t="s">
        <v>71</v>
      </c>
      <c r="I864">
        <v>85000</v>
      </c>
      <c r="J864">
        <v>5000</v>
      </c>
      <c r="K864">
        <v>30</v>
      </c>
      <c r="L864" t="s">
        <v>18</v>
      </c>
      <c r="M864" t="s">
        <v>30</v>
      </c>
    </row>
    <row r="865" spans="1:13" x14ac:dyDescent="0.3">
      <c r="A865">
        <v>27</v>
      </c>
      <c r="B865" t="s">
        <v>13</v>
      </c>
      <c r="C865" t="s">
        <v>20</v>
      </c>
      <c r="D865" t="s">
        <v>15</v>
      </c>
      <c r="E865">
        <v>5</v>
      </c>
      <c r="F865">
        <v>1</v>
      </c>
      <c r="G865" t="s">
        <v>16</v>
      </c>
      <c r="H865" t="s">
        <v>71</v>
      </c>
      <c r="I865">
        <v>78000</v>
      </c>
      <c r="K865">
        <v>30</v>
      </c>
      <c r="L865" t="s">
        <v>18</v>
      </c>
      <c r="M865" t="s">
        <v>30</v>
      </c>
    </row>
    <row r="866" spans="1:13" x14ac:dyDescent="0.3">
      <c r="A866">
        <v>31</v>
      </c>
      <c r="B866" t="s">
        <v>33</v>
      </c>
      <c r="C866" t="s">
        <v>20</v>
      </c>
      <c r="D866" t="s">
        <v>53</v>
      </c>
      <c r="E866">
        <v>4</v>
      </c>
      <c r="F866">
        <v>3</v>
      </c>
      <c r="G866" t="s">
        <v>28</v>
      </c>
      <c r="H866" t="s">
        <v>284</v>
      </c>
      <c r="I866">
        <v>50500</v>
      </c>
      <c r="K866">
        <v>30</v>
      </c>
      <c r="L866" t="s">
        <v>18</v>
      </c>
      <c r="M866" t="s">
        <v>30</v>
      </c>
    </row>
    <row r="867" spans="1:13" x14ac:dyDescent="0.3">
      <c r="A867">
        <v>36</v>
      </c>
      <c r="B867" t="s">
        <v>13</v>
      </c>
      <c r="C867" t="s">
        <v>14</v>
      </c>
      <c r="D867" t="s">
        <v>27</v>
      </c>
      <c r="E867">
        <v>16</v>
      </c>
      <c r="F867">
        <v>0</v>
      </c>
      <c r="G867" t="s">
        <v>16</v>
      </c>
      <c r="H867" t="s">
        <v>173</v>
      </c>
      <c r="I867">
        <v>105000</v>
      </c>
      <c r="J867">
        <v>150000</v>
      </c>
      <c r="K867">
        <v>30</v>
      </c>
      <c r="L867" t="s">
        <v>18</v>
      </c>
      <c r="M867" t="s">
        <v>30</v>
      </c>
    </row>
    <row r="868" spans="1:13" x14ac:dyDescent="0.3">
      <c r="A868">
        <v>30</v>
      </c>
      <c r="B868" t="s">
        <v>33</v>
      </c>
      <c r="C868" t="s">
        <v>14</v>
      </c>
      <c r="D868" t="s">
        <v>43</v>
      </c>
      <c r="E868">
        <v>10</v>
      </c>
      <c r="F868">
        <v>3.5</v>
      </c>
      <c r="G868" t="s">
        <v>16</v>
      </c>
      <c r="H868" t="s">
        <v>80</v>
      </c>
      <c r="I868">
        <v>65000</v>
      </c>
      <c r="J868">
        <v>5000</v>
      </c>
      <c r="K868">
        <v>30</v>
      </c>
      <c r="L868" t="s">
        <v>18</v>
      </c>
      <c r="M868" t="s">
        <v>30</v>
      </c>
    </row>
    <row r="869" spans="1:13" x14ac:dyDescent="0.3">
      <c r="A869">
        <v>33</v>
      </c>
      <c r="B869" t="s">
        <v>13</v>
      </c>
      <c r="C869" t="s">
        <v>20</v>
      </c>
      <c r="D869" t="s">
        <v>43</v>
      </c>
      <c r="E869">
        <v>8</v>
      </c>
      <c r="F869">
        <v>2</v>
      </c>
      <c r="G869" t="s">
        <v>16</v>
      </c>
      <c r="H869" t="s">
        <v>80</v>
      </c>
      <c r="I869">
        <v>75000</v>
      </c>
      <c r="J869">
        <v>1000</v>
      </c>
      <c r="K869">
        <v>30</v>
      </c>
      <c r="L869" t="s">
        <v>18</v>
      </c>
      <c r="M869" t="s">
        <v>30</v>
      </c>
    </row>
    <row r="870" spans="1:13" x14ac:dyDescent="0.3">
      <c r="A870">
        <v>27</v>
      </c>
      <c r="B870" t="s">
        <v>13</v>
      </c>
      <c r="C870" t="s">
        <v>14</v>
      </c>
      <c r="D870" t="s">
        <v>52</v>
      </c>
      <c r="E870">
        <v>5</v>
      </c>
      <c r="F870">
        <v>1</v>
      </c>
      <c r="G870" t="s">
        <v>16</v>
      </c>
      <c r="H870" t="s">
        <v>80</v>
      </c>
      <c r="I870">
        <v>58000</v>
      </c>
      <c r="J870">
        <v>5800</v>
      </c>
      <c r="K870">
        <v>30</v>
      </c>
      <c r="L870" t="s">
        <v>18</v>
      </c>
      <c r="M870" t="s">
        <v>30</v>
      </c>
    </row>
    <row r="871" spans="1:13" x14ac:dyDescent="0.3">
      <c r="A871">
        <v>26</v>
      </c>
      <c r="B871" t="s">
        <v>33</v>
      </c>
      <c r="C871" t="s">
        <v>292</v>
      </c>
      <c r="D871" t="s">
        <v>52</v>
      </c>
      <c r="E871">
        <v>2</v>
      </c>
      <c r="F871">
        <v>0.3</v>
      </c>
      <c r="G871" t="s">
        <v>28</v>
      </c>
      <c r="H871" t="s">
        <v>369</v>
      </c>
      <c r="I871">
        <v>32000</v>
      </c>
      <c r="K871">
        <v>30</v>
      </c>
      <c r="L871" t="s">
        <v>36</v>
      </c>
      <c r="M871" t="s">
        <v>30</v>
      </c>
    </row>
    <row r="872" spans="1:13" x14ac:dyDescent="0.3">
      <c r="A872">
        <v>27</v>
      </c>
      <c r="B872" t="s">
        <v>13</v>
      </c>
      <c r="C872" t="s">
        <v>14</v>
      </c>
      <c r="D872" t="s">
        <v>15</v>
      </c>
      <c r="E872">
        <v>5</v>
      </c>
      <c r="F872">
        <v>1</v>
      </c>
      <c r="G872" t="s">
        <v>16</v>
      </c>
      <c r="H872" t="s">
        <v>17</v>
      </c>
      <c r="I872">
        <v>71000</v>
      </c>
      <c r="J872">
        <v>5000</v>
      </c>
      <c r="K872">
        <v>30</v>
      </c>
      <c r="L872" t="s">
        <v>18</v>
      </c>
      <c r="M872" t="s">
        <v>30</v>
      </c>
    </row>
    <row r="873" spans="1:13" x14ac:dyDescent="0.3">
      <c r="A873">
        <v>26</v>
      </c>
      <c r="B873" t="s">
        <v>13</v>
      </c>
      <c r="C873" t="s">
        <v>65</v>
      </c>
      <c r="D873" t="s">
        <v>25</v>
      </c>
      <c r="E873">
        <v>8</v>
      </c>
      <c r="F873">
        <v>0</v>
      </c>
      <c r="G873" t="s">
        <v>16</v>
      </c>
      <c r="H873" t="s">
        <v>17</v>
      </c>
      <c r="I873">
        <v>105000</v>
      </c>
      <c r="J873">
        <v>60000</v>
      </c>
      <c r="K873">
        <v>30</v>
      </c>
      <c r="L873" t="s">
        <v>18</v>
      </c>
      <c r="M873" t="s">
        <v>30</v>
      </c>
    </row>
    <row r="874" spans="1:13" x14ac:dyDescent="0.3">
      <c r="A874">
        <v>31</v>
      </c>
      <c r="B874" t="s">
        <v>13</v>
      </c>
      <c r="C874" t="s">
        <v>14</v>
      </c>
      <c r="D874" t="s">
        <v>25</v>
      </c>
      <c r="E874">
        <v>8</v>
      </c>
      <c r="F874">
        <v>3</v>
      </c>
      <c r="G874" t="s">
        <v>16</v>
      </c>
      <c r="H874" t="s">
        <v>17</v>
      </c>
      <c r="I874">
        <v>79000</v>
      </c>
      <c r="J874">
        <v>5000</v>
      </c>
      <c r="K874">
        <v>30</v>
      </c>
      <c r="L874" t="s">
        <v>18</v>
      </c>
      <c r="M874" t="s">
        <v>30</v>
      </c>
    </row>
    <row r="875" spans="1:13" x14ac:dyDescent="0.3">
      <c r="A875">
        <v>51</v>
      </c>
      <c r="B875" t="s">
        <v>13</v>
      </c>
      <c r="C875" t="s">
        <v>20</v>
      </c>
      <c r="D875" t="s">
        <v>15</v>
      </c>
      <c r="E875">
        <v>30</v>
      </c>
      <c r="F875">
        <v>30</v>
      </c>
      <c r="G875" t="s">
        <v>16</v>
      </c>
      <c r="H875" t="s">
        <v>530</v>
      </c>
      <c r="I875">
        <v>60000</v>
      </c>
      <c r="J875">
        <v>5000</v>
      </c>
      <c r="K875">
        <v>30</v>
      </c>
      <c r="L875" t="s">
        <v>36</v>
      </c>
      <c r="M875" t="s">
        <v>30</v>
      </c>
    </row>
    <row r="876" spans="1:13" x14ac:dyDescent="0.3">
      <c r="A876">
        <v>32</v>
      </c>
      <c r="B876" t="s">
        <v>13</v>
      </c>
      <c r="C876" t="s">
        <v>20</v>
      </c>
      <c r="D876" t="s">
        <v>53</v>
      </c>
      <c r="E876">
        <v>10</v>
      </c>
      <c r="F876">
        <v>10</v>
      </c>
      <c r="G876" t="s">
        <v>62</v>
      </c>
      <c r="I876">
        <v>110000</v>
      </c>
      <c r="J876">
        <v>30000</v>
      </c>
      <c r="K876">
        <v>30</v>
      </c>
      <c r="L876" t="s">
        <v>18</v>
      </c>
      <c r="M876" t="s">
        <v>30</v>
      </c>
    </row>
    <row r="877" spans="1:13" x14ac:dyDescent="0.3">
      <c r="A877">
        <v>40</v>
      </c>
      <c r="B877" t="s">
        <v>13</v>
      </c>
      <c r="C877" t="s">
        <v>20</v>
      </c>
      <c r="D877" t="s">
        <v>41</v>
      </c>
      <c r="E877">
        <v>13</v>
      </c>
      <c r="F877">
        <v>9</v>
      </c>
      <c r="G877" t="s">
        <v>62</v>
      </c>
      <c r="I877">
        <v>90000</v>
      </c>
      <c r="J877">
        <v>10000</v>
      </c>
      <c r="K877">
        <v>30</v>
      </c>
      <c r="L877" t="s">
        <v>18</v>
      </c>
      <c r="M877" t="s">
        <v>30</v>
      </c>
    </row>
    <row r="878" spans="1:13" x14ac:dyDescent="0.3">
      <c r="A878">
        <v>40</v>
      </c>
      <c r="B878" t="s">
        <v>13</v>
      </c>
      <c r="C878" t="s">
        <v>20</v>
      </c>
      <c r="D878" t="s">
        <v>41</v>
      </c>
      <c r="E878">
        <v>13</v>
      </c>
      <c r="F878">
        <v>9</v>
      </c>
      <c r="G878" t="s">
        <v>62</v>
      </c>
      <c r="I878">
        <v>90000</v>
      </c>
      <c r="J878">
        <v>10000</v>
      </c>
      <c r="K878">
        <v>30</v>
      </c>
      <c r="L878" t="s">
        <v>18</v>
      </c>
      <c r="M878" t="s">
        <v>30</v>
      </c>
    </row>
    <row r="879" spans="1:13" x14ac:dyDescent="0.3">
      <c r="A879">
        <v>40</v>
      </c>
      <c r="B879" t="s">
        <v>13</v>
      </c>
      <c r="C879" t="s">
        <v>20</v>
      </c>
      <c r="D879" t="s">
        <v>41</v>
      </c>
      <c r="E879">
        <v>13</v>
      </c>
      <c r="F879">
        <v>9</v>
      </c>
      <c r="G879" t="s">
        <v>62</v>
      </c>
      <c r="I879">
        <v>90000</v>
      </c>
      <c r="J879">
        <v>10000</v>
      </c>
      <c r="K879">
        <v>30</v>
      </c>
      <c r="L879" t="s">
        <v>18</v>
      </c>
      <c r="M879" t="s">
        <v>30</v>
      </c>
    </row>
    <row r="880" spans="1:13" x14ac:dyDescent="0.3">
      <c r="A880">
        <v>28</v>
      </c>
      <c r="B880" t="s">
        <v>33</v>
      </c>
      <c r="C880" t="s">
        <v>144</v>
      </c>
      <c r="D880" t="s">
        <v>15</v>
      </c>
      <c r="E880">
        <v>4</v>
      </c>
      <c r="F880">
        <v>4</v>
      </c>
      <c r="G880" t="s">
        <v>26</v>
      </c>
      <c r="I880">
        <v>53000</v>
      </c>
      <c r="K880">
        <v>30</v>
      </c>
      <c r="L880" t="s">
        <v>18</v>
      </c>
      <c r="M880" t="s">
        <v>30</v>
      </c>
    </row>
    <row r="881" spans="1:13" x14ac:dyDescent="0.3">
      <c r="A881">
        <v>39</v>
      </c>
      <c r="B881" t="s">
        <v>33</v>
      </c>
      <c r="C881" t="s">
        <v>14</v>
      </c>
      <c r="D881" t="s">
        <v>27</v>
      </c>
      <c r="E881">
        <v>11</v>
      </c>
      <c r="F881">
        <v>11</v>
      </c>
      <c r="G881" t="s">
        <v>24</v>
      </c>
      <c r="I881">
        <v>93000</v>
      </c>
      <c r="K881">
        <v>30</v>
      </c>
      <c r="L881" t="s">
        <v>36</v>
      </c>
      <c r="M881" t="s">
        <v>30</v>
      </c>
    </row>
    <row r="882" spans="1:13" x14ac:dyDescent="0.3">
      <c r="A882">
        <v>30</v>
      </c>
      <c r="B882" t="s">
        <v>13</v>
      </c>
      <c r="C882" t="s">
        <v>14</v>
      </c>
      <c r="D882" t="s">
        <v>27</v>
      </c>
      <c r="E882">
        <v>8</v>
      </c>
      <c r="F882">
        <v>2</v>
      </c>
      <c r="G882" t="s">
        <v>28</v>
      </c>
      <c r="I882">
        <v>70200</v>
      </c>
      <c r="J882">
        <v>75000</v>
      </c>
      <c r="K882">
        <v>30</v>
      </c>
      <c r="L882" t="s">
        <v>18</v>
      </c>
      <c r="M882" t="s">
        <v>30</v>
      </c>
    </row>
    <row r="883" spans="1:13" x14ac:dyDescent="0.3">
      <c r="A883">
        <v>30</v>
      </c>
      <c r="B883" t="s">
        <v>13</v>
      </c>
      <c r="C883" t="s">
        <v>20</v>
      </c>
      <c r="D883" t="s">
        <v>27</v>
      </c>
      <c r="E883">
        <v>7</v>
      </c>
      <c r="F883">
        <v>3</v>
      </c>
      <c r="G883" t="s">
        <v>28</v>
      </c>
      <c r="I883">
        <v>80000</v>
      </c>
      <c r="K883">
        <v>30</v>
      </c>
      <c r="L883" t="s">
        <v>18</v>
      </c>
      <c r="M883" t="s">
        <v>30</v>
      </c>
    </row>
    <row r="884" spans="1:13" x14ac:dyDescent="0.3">
      <c r="A884">
        <v>25</v>
      </c>
      <c r="B884" t="s">
        <v>33</v>
      </c>
      <c r="C884" t="s">
        <v>14</v>
      </c>
      <c r="D884" t="s">
        <v>41</v>
      </c>
      <c r="E884">
        <v>3</v>
      </c>
      <c r="F884">
        <v>0.5</v>
      </c>
      <c r="G884" t="s">
        <v>28</v>
      </c>
      <c r="I884">
        <v>62000</v>
      </c>
      <c r="K884">
        <v>30</v>
      </c>
      <c r="L884" t="s">
        <v>18</v>
      </c>
      <c r="M884" t="s">
        <v>30</v>
      </c>
    </row>
    <row r="885" spans="1:13" x14ac:dyDescent="0.3">
      <c r="A885">
        <v>41</v>
      </c>
      <c r="B885" t="s">
        <v>13</v>
      </c>
      <c r="C885" t="s">
        <v>14</v>
      </c>
      <c r="D885" t="s">
        <v>41</v>
      </c>
      <c r="E885">
        <v>18</v>
      </c>
      <c r="F885">
        <v>3</v>
      </c>
      <c r="G885" t="s">
        <v>28</v>
      </c>
      <c r="I885">
        <v>72000</v>
      </c>
      <c r="K885">
        <v>30</v>
      </c>
      <c r="L885" t="s">
        <v>18</v>
      </c>
      <c r="M885" t="s">
        <v>30</v>
      </c>
    </row>
    <row r="886" spans="1:13" x14ac:dyDescent="0.3">
      <c r="A886">
        <v>36</v>
      </c>
      <c r="B886" t="s">
        <v>33</v>
      </c>
      <c r="C886" t="s">
        <v>94</v>
      </c>
      <c r="D886" t="s">
        <v>95</v>
      </c>
      <c r="E886">
        <v>14</v>
      </c>
      <c r="F886">
        <v>2</v>
      </c>
      <c r="G886" t="s">
        <v>28</v>
      </c>
      <c r="I886">
        <v>62000</v>
      </c>
      <c r="K886">
        <v>30</v>
      </c>
      <c r="L886" t="s">
        <v>18</v>
      </c>
      <c r="M886" t="s">
        <v>30</v>
      </c>
    </row>
    <row r="887" spans="1:13" x14ac:dyDescent="0.3">
      <c r="A887">
        <v>38</v>
      </c>
      <c r="B887" t="s">
        <v>13</v>
      </c>
      <c r="C887" t="s">
        <v>14</v>
      </c>
      <c r="D887" t="s">
        <v>231</v>
      </c>
      <c r="E887">
        <v>16</v>
      </c>
      <c r="F887">
        <v>4</v>
      </c>
      <c r="G887" t="s">
        <v>16</v>
      </c>
      <c r="I887">
        <v>95000</v>
      </c>
      <c r="J887">
        <v>105000</v>
      </c>
      <c r="K887">
        <v>30</v>
      </c>
      <c r="L887" t="s">
        <v>18</v>
      </c>
      <c r="M887" t="s">
        <v>30</v>
      </c>
    </row>
    <row r="888" spans="1:13" x14ac:dyDescent="0.3">
      <c r="A888">
        <v>45</v>
      </c>
      <c r="B888" t="s">
        <v>13</v>
      </c>
      <c r="C888" t="s">
        <v>14</v>
      </c>
      <c r="D888" t="s">
        <v>504</v>
      </c>
      <c r="E888">
        <v>19</v>
      </c>
      <c r="F888">
        <v>11</v>
      </c>
      <c r="G888" t="s">
        <v>16</v>
      </c>
      <c r="I888">
        <v>90000</v>
      </c>
      <c r="J888">
        <v>2500</v>
      </c>
      <c r="K888">
        <v>30</v>
      </c>
      <c r="L888" t="s">
        <v>18</v>
      </c>
      <c r="M888" t="s">
        <v>30</v>
      </c>
    </row>
    <row r="889" spans="1:13" x14ac:dyDescent="0.3">
      <c r="A889">
        <v>28</v>
      </c>
      <c r="B889" t="s">
        <v>13</v>
      </c>
      <c r="C889" t="s">
        <v>20</v>
      </c>
      <c r="D889" t="s">
        <v>38</v>
      </c>
      <c r="E889">
        <v>11</v>
      </c>
      <c r="F889">
        <v>2</v>
      </c>
      <c r="G889" t="s">
        <v>16</v>
      </c>
      <c r="I889">
        <v>75000</v>
      </c>
      <c r="J889">
        <v>9400</v>
      </c>
      <c r="K889">
        <v>30</v>
      </c>
      <c r="L889" t="s">
        <v>18</v>
      </c>
      <c r="M889" t="s">
        <v>30</v>
      </c>
    </row>
    <row r="890" spans="1:13" x14ac:dyDescent="0.3">
      <c r="A890">
        <v>34</v>
      </c>
      <c r="B890" t="s">
        <v>13</v>
      </c>
      <c r="C890" t="s">
        <v>20</v>
      </c>
      <c r="D890" t="s">
        <v>27</v>
      </c>
      <c r="E890">
        <v>13</v>
      </c>
      <c r="F890">
        <v>5</v>
      </c>
      <c r="G890" t="s">
        <v>16</v>
      </c>
      <c r="I890">
        <v>103000</v>
      </c>
      <c r="K890">
        <v>30</v>
      </c>
      <c r="L890" t="s">
        <v>18</v>
      </c>
      <c r="M890" t="s">
        <v>30</v>
      </c>
    </row>
    <row r="891" spans="1:13" x14ac:dyDescent="0.3">
      <c r="A891">
        <v>47</v>
      </c>
      <c r="B891" t="s">
        <v>13</v>
      </c>
      <c r="C891" t="s">
        <v>14</v>
      </c>
      <c r="D891" t="s">
        <v>27</v>
      </c>
      <c r="E891">
        <v>20</v>
      </c>
      <c r="F891">
        <v>1</v>
      </c>
      <c r="G891" t="s">
        <v>16</v>
      </c>
      <c r="I891">
        <v>75000</v>
      </c>
      <c r="K891">
        <v>30</v>
      </c>
      <c r="M891" t="s">
        <v>30</v>
      </c>
    </row>
    <row r="892" spans="1:13" x14ac:dyDescent="0.3">
      <c r="A892">
        <v>32</v>
      </c>
      <c r="B892" t="s">
        <v>13</v>
      </c>
      <c r="C892" t="s">
        <v>14</v>
      </c>
      <c r="D892" t="s">
        <v>41</v>
      </c>
      <c r="E892">
        <v>4</v>
      </c>
      <c r="F892">
        <v>4</v>
      </c>
      <c r="G892" t="s">
        <v>16</v>
      </c>
      <c r="I892">
        <v>65000</v>
      </c>
      <c r="J892">
        <v>65000</v>
      </c>
      <c r="K892">
        <v>30</v>
      </c>
      <c r="L892" t="s">
        <v>18</v>
      </c>
      <c r="M892" t="s">
        <v>30</v>
      </c>
    </row>
    <row r="893" spans="1:13" x14ac:dyDescent="0.3">
      <c r="A893">
        <v>36</v>
      </c>
      <c r="B893" t="s">
        <v>13</v>
      </c>
      <c r="C893" t="s">
        <v>20</v>
      </c>
      <c r="D893" t="s">
        <v>41</v>
      </c>
      <c r="E893">
        <v>10</v>
      </c>
      <c r="F893">
        <v>2</v>
      </c>
      <c r="G893" t="s">
        <v>16</v>
      </c>
      <c r="I893">
        <v>85000</v>
      </c>
      <c r="K893">
        <v>30</v>
      </c>
      <c r="L893" t="s">
        <v>18</v>
      </c>
      <c r="M893" t="s">
        <v>30</v>
      </c>
    </row>
    <row r="894" spans="1:13" x14ac:dyDescent="0.3">
      <c r="A894">
        <v>39</v>
      </c>
      <c r="B894" t="s">
        <v>33</v>
      </c>
      <c r="C894" t="s">
        <v>220</v>
      </c>
      <c r="D894" t="s">
        <v>323</v>
      </c>
      <c r="E894">
        <v>13</v>
      </c>
      <c r="F894">
        <v>13</v>
      </c>
      <c r="G894" t="s">
        <v>16</v>
      </c>
      <c r="I894">
        <v>108000</v>
      </c>
      <c r="J894">
        <v>0</v>
      </c>
      <c r="K894">
        <v>30</v>
      </c>
      <c r="L894" t="s">
        <v>36</v>
      </c>
      <c r="M894" t="s">
        <v>30</v>
      </c>
    </row>
    <row r="895" spans="1:13" x14ac:dyDescent="0.3">
      <c r="A895">
        <v>35</v>
      </c>
      <c r="B895" t="s">
        <v>13</v>
      </c>
      <c r="C895" t="s">
        <v>59</v>
      </c>
      <c r="D895" t="s">
        <v>129</v>
      </c>
      <c r="E895">
        <v>14</v>
      </c>
      <c r="F895">
        <v>8</v>
      </c>
      <c r="G895" t="s">
        <v>16</v>
      </c>
      <c r="I895">
        <v>80000</v>
      </c>
      <c r="J895">
        <v>5000</v>
      </c>
      <c r="K895">
        <v>30</v>
      </c>
      <c r="L895" t="s">
        <v>36</v>
      </c>
      <c r="M895" t="s">
        <v>30</v>
      </c>
    </row>
    <row r="896" spans="1:13" x14ac:dyDescent="0.3">
      <c r="B896" t="s">
        <v>13</v>
      </c>
      <c r="C896" t="s">
        <v>70</v>
      </c>
      <c r="D896" t="s">
        <v>15</v>
      </c>
      <c r="E896">
        <v>18</v>
      </c>
      <c r="F896">
        <v>1</v>
      </c>
      <c r="G896" t="s">
        <v>16</v>
      </c>
      <c r="I896">
        <v>81000</v>
      </c>
      <c r="J896">
        <v>3375</v>
      </c>
      <c r="K896">
        <v>30</v>
      </c>
      <c r="L896" t="s">
        <v>18</v>
      </c>
      <c r="M896" t="s">
        <v>30</v>
      </c>
    </row>
    <row r="897" spans="1:13" x14ac:dyDescent="0.3">
      <c r="A897">
        <v>40</v>
      </c>
      <c r="B897" t="s">
        <v>13</v>
      </c>
      <c r="C897" t="s">
        <v>14</v>
      </c>
      <c r="D897" t="s">
        <v>15</v>
      </c>
      <c r="E897">
        <v>13</v>
      </c>
      <c r="F897">
        <v>1</v>
      </c>
      <c r="G897" t="s">
        <v>16</v>
      </c>
      <c r="I897">
        <v>77000</v>
      </c>
      <c r="J897">
        <v>101</v>
      </c>
      <c r="K897">
        <v>30</v>
      </c>
      <c r="L897" t="s">
        <v>18</v>
      </c>
      <c r="M897" t="s">
        <v>30</v>
      </c>
    </row>
    <row r="898" spans="1:13" x14ac:dyDescent="0.3">
      <c r="A898">
        <v>30</v>
      </c>
      <c r="B898" t="s">
        <v>13</v>
      </c>
      <c r="C898" t="s">
        <v>34</v>
      </c>
      <c r="D898" t="s">
        <v>15</v>
      </c>
      <c r="E898">
        <v>6</v>
      </c>
      <c r="F898">
        <v>0</v>
      </c>
      <c r="G898" t="s">
        <v>28</v>
      </c>
      <c r="H898" t="s">
        <v>58</v>
      </c>
      <c r="I898">
        <v>60000</v>
      </c>
      <c r="J898">
        <v>6000</v>
      </c>
      <c r="K898">
        <v>30</v>
      </c>
      <c r="L898" t="s">
        <v>18</v>
      </c>
      <c r="M898" t="s">
        <v>23</v>
      </c>
    </row>
    <row r="899" spans="1:13" x14ac:dyDescent="0.3">
      <c r="A899">
        <v>27</v>
      </c>
      <c r="B899" t="s">
        <v>13</v>
      </c>
      <c r="C899" t="s">
        <v>20</v>
      </c>
      <c r="D899" t="s">
        <v>27</v>
      </c>
      <c r="E899">
        <v>4</v>
      </c>
      <c r="F899">
        <v>4</v>
      </c>
      <c r="G899" t="s">
        <v>28</v>
      </c>
      <c r="H899" t="s">
        <v>226</v>
      </c>
      <c r="I899">
        <v>66000</v>
      </c>
      <c r="J899">
        <v>6000</v>
      </c>
      <c r="K899">
        <v>30</v>
      </c>
      <c r="L899" t="s">
        <v>18</v>
      </c>
      <c r="M899" t="s">
        <v>23</v>
      </c>
    </row>
    <row r="900" spans="1:13" x14ac:dyDescent="0.3">
      <c r="A900">
        <v>32</v>
      </c>
      <c r="B900" t="s">
        <v>33</v>
      </c>
      <c r="C900" t="s">
        <v>34</v>
      </c>
      <c r="D900" t="s">
        <v>35</v>
      </c>
      <c r="E900">
        <v>2</v>
      </c>
      <c r="F900">
        <v>2</v>
      </c>
      <c r="G900" t="s">
        <v>26</v>
      </c>
      <c r="H900" t="s">
        <v>226</v>
      </c>
      <c r="I900">
        <v>52500</v>
      </c>
      <c r="K900">
        <v>30</v>
      </c>
      <c r="L900" t="s">
        <v>36</v>
      </c>
      <c r="M900" t="s">
        <v>23</v>
      </c>
    </row>
    <row r="901" spans="1:13" x14ac:dyDescent="0.3">
      <c r="A901">
        <v>28</v>
      </c>
      <c r="B901" t="s">
        <v>13</v>
      </c>
      <c r="C901" t="s">
        <v>39</v>
      </c>
      <c r="D901" t="s">
        <v>15</v>
      </c>
      <c r="E901">
        <v>2</v>
      </c>
      <c r="F901">
        <v>1</v>
      </c>
      <c r="G901" t="s">
        <v>26</v>
      </c>
      <c r="H901" t="s">
        <v>111</v>
      </c>
      <c r="I901">
        <v>48000</v>
      </c>
      <c r="J901">
        <v>0</v>
      </c>
      <c r="K901">
        <v>30</v>
      </c>
      <c r="L901" t="s">
        <v>18</v>
      </c>
      <c r="M901" t="s">
        <v>23</v>
      </c>
    </row>
    <row r="902" spans="1:13" x14ac:dyDescent="0.3">
      <c r="A902">
        <v>30</v>
      </c>
      <c r="B902" t="s">
        <v>13</v>
      </c>
      <c r="C902" t="s">
        <v>163</v>
      </c>
      <c r="D902" t="s">
        <v>15</v>
      </c>
      <c r="E902">
        <v>5</v>
      </c>
      <c r="F902">
        <v>0</v>
      </c>
      <c r="G902" t="s">
        <v>28</v>
      </c>
      <c r="H902" t="s">
        <v>111</v>
      </c>
      <c r="I902">
        <v>14712</v>
      </c>
      <c r="J902">
        <v>0</v>
      </c>
      <c r="K902">
        <v>30</v>
      </c>
      <c r="L902" t="s">
        <v>164</v>
      </c>
      <c r="M902" t="s">
        <v>23</v>
      </c>
    </row>
    <row r="903" spans="1:13" x14ac:dyDescent="0.3">
      <c r="A903">
        <v>27</v>
      </c>
      <c r="B903" t="s">
        <v>13</v>
      </c>
      <c r="C903" t="s">
        <v>20</v>
      </c>
      <c r="D903" t="s">
        <v>15</v>
      </c>
      <c r="E903">
        <v>4</v>
      </c>
      <c r="F903">
        <v>1</v>
      </c>
      <c r="G903" t="s">
        <v>28</v>
      </c>
      <c r="H903" t="s">
        <v>64</v>
      </c>
      <c r="I903">
        <v>65000</v>
      </c>
      <c r="K903">
        <v>30</v>
      </c>
      <c r="L903" t="s">
        <v>18</v>
      </c>
      <c r="M903" t="s">
        <v>23</v>
      </c>
    </row>
    <row r="904" spans="1:13" x14ac:dyDescent="0.3">
      <c r="A904">
        <v>28</v>
      </c>
      <c r="B904" t="s">
        <v>13</v>
      </c>
      <c r="C904" t="s">
        <v>14</v>
      </c>
      <c r="D904" t="s">
        <v>15</v>
      </c>
      <c r="E904">
        <v>6</v>
      </c>
      <c r="F904">
        <v>3</v>
      </c>
      <c r="G904" t="s">
        <v>28</v>
      </c>
      <c r="H904" t="s">
        <v>111</v>
      </c>
      <c r="I904">
        <v>64000</v>
      </c>
      <c r="J904">
        <v>9000</v>
      </c>
      <c r="K904">
        <v>30</v>
      </c>
      <c r="L904" t="s">
        <v>18</v>
      </c>
      <c r="M904" t="s">
        <v>23</v>
      </c>
    </row>
    <row r="905" spans="1:13" x14ac:dyDescent="0.3">
      <c r="A905">
        <v>35</v>
      </c>
      <c r="B905" t="s">
        <v>13</v>
      </c>
      <c r="C905" t="s">
        <v>20</v>
      </c>
      <c r="D905" t="s">
        <v>53</v>
      </c>
      <c r="E905">
        <v>15</v>
      </c>
      <c r="F905">
        <v>10</v>
      </c>
      <c r="G905" t="s">
        <v>28</v>
      </c>
      <c r="H905" t="s">
        <v>37</v>
      </c>
      <c r="I905">
        <v>60000</v>
      </c>
      <c r="J905">
        <v>0</v>
      </c>
      <c r="K905">
        <v>30</v>
      </c>
      <c r="L905" t="s">
        <v>18</v>
      </c>
      <c r="M905" t="s">
        <v>23</v>
      </c>
    </row>
    <row r="906" spans="1:13" x14ac:dyDescent="0.3">
      <c r="A906">
        <v>34</v>
      </c>
      <c r="B906" t="s">
        <v>13</v>
      </c>
      <c r="C906" t="s">
        <v>20</v>
      </c>
      <c r="D906" t="s">
        <v>15</v>
      </c>
      <c r="E906">
        <v>10</v>
      </c>
      <c r="F906">
        <v>10</v>
      </c>
      <c r="G906" t="s">
        <v>16</v>
      </c>
      <c r="H906" t="s">
        <v>37</v>
      </c>
      <c r="I906">
        <v>76000</v>
      </c>
      <c r="J906">
        <v>12000</v>
      </c>
      <c r="K906">
        <v>30</v>
      </c>
      <c r="L906" t="s">
        <v>18</v>
      </c>
      <c r="M906" t="s">
        <v>23</v>
      </c>
    </row>
    <row r="907" spans="1:13" x14ac:dyDescent="0.3">
      <c r="A907">
        <v>32</v>
      </c>
      <c r="B907" t="s">
        <v>13</v>
      </c>
      <c r="C907" t="s">
        <v>14</v>
      </c>
      <c r="D907" t="s">
        <v>15</v>
      </c>
      <c r="E907">
        <v>8</v>
      </c>
      <c r="F907">
        <v>1</v>
      </c>
      <c r="G907" t="s">
        <v>16</v>
      </c>
      <c r="H907" t="s">
        <v>37</v>
      </c>
      <c r="I907">
        <v>65000</v>
      </c>
      <c r="J907">
        <v>0</v>
      </c>
      <c r="K907">
        <v>30</v>
      </c>
      <c r="L907" t="s">
        <v>18</v>
      </c>
      <c r="M907" t="s">
        <v>23</v>
      </c>
    </row>
    <row r="908" spans="1:13" x14ac:dyDescent="0.3">
      <c r="A908">
        <v>31</v>
      </c>
      <c r="B908" t="s">
        <v>13</v>
      </c>
      <c r="C908" t="s">
        <v>14</v>
      </c>
      <c r="D908" t="s">
        <v>15</v>
      </c>
      <c r="E908">
        <v>14</v>
      </c>
      <c r="F908">
        <v>1.5</v>
      </c>
      <c r="G908" t="s">
        <v>16</v>
      </c>
      <c r="H908" t="s">
        <v>37</v>
      </c>
      <c r="I908">
        <v>75000</v>
      </c>
      <c r="J908">
        <v>0</v>
      </c>
      <c r="K908">
        <v>30</v>
      </c>
      <c r="L908" t="s">
        <v>18</v>
      </c>
      <c r="M908" t="s">
        <v>23</v>
      </c>
    </row>
    <row r="909" spans="1:13" x14ac:dyDescent="0.3">
      <c r="A909">
        <v>42</v>
      </c>
      <c r="B909" t="s">
        <v>13</v>
      </c>
      <c r="C909" t="s">
        <v>304</v>
      </c>
      <c r="D909" t="s">
        <v>15</v>
      </c>
      <c r="E909">
        <v>20</v>
      </c>
      <c r="F909">
        <v>1</v>
      </c>
      <c r="G909" t="s">
        <v>16</v>
      </c>
      <c r="H909" t="s">
        <v>37</v>
      </c>
      <c r="I909">
        <v>70000</v>
      </c>
      <c r="K909">
        <v>30</v>
      </c>
      <c r="L909" t="s">
        <v>18</v>
      </c>
      <c r="M909" t="s">
        <v>23</v>
      </c>
    </row>
    <row r="910" spans="1:13" x14ac:dyDescent="0.3">
      <c r="A910">
        <v>30</v>
      </c>
      <c r="B910" t="s">
        <v>13</v>
      </c>
      <c r="C910" t="s">
        <v>163</v>
      </c>
      <c r="D910" t="s">
        <v>21</v>
      </c>
      <c r="E910">
        <v>2</v>
      </c>
      <c r="F910">
        <v>0</v>
      </c>
      <c r="G910" t="s">
        <v>26</v>
      </c>
      <c r="H910" t="s">
        <v>152</v>
      </c>
      <c r="I910">
        <v>50000</v>
      </c>
      <c r="J910">
        <v>55000</v>
      </c>
      <c r="K910">
        <v>30</v>
      </c>
      <c r="L910" t="s">
        <v>18</v>
      </c>
      <c r="M910" t="s">
        <v>23</v>
      </c>
    </row>
    <row r="911" spans="1:13" x14ac:dyDescent="0.3">
      <c r="B911" t="s">
        <v>13</v>
      </c>
      <c r="C911" t="s">
        <v>20</v>
      </c>
      <c r="D911" t="s">
        <v>21</v>
      </c>
      <c r="E911">
        <v>15</v>
      </c>
      <c r="F911">
        <v>6</v>
      </c>
      <c r="G911" t="s">
        <v>28</v>
      </c>
      <c r="H911" t="s">
        <v>152</v>
      </c>
      <c r="I911">
        <v>73000</v>
      </c>
      <c r="K911">
        <v>30</v>
      </c>
      <c r="L911" t="s">
        <v>18</v>
      </c>
      <c r="M911" t="s">
        <v>23</v>
      </c>
    </row>
    <row r="912" spans="1:13" x14ac:dyDescent="0.3">
      <c r="A912">
        <v>34</v>
      </c>
      <c r="B912" t="s">
        <v>13</v>
      </c>
      <c r="C912" t="s">
        <v>20</v>
      </c>
      <c r="D912" t="s">
        <v>21</v>
      </c>
      <c r="E912">
        <v>13</v>
      </c>
      <c r="F912">
        <v>1</v>
      </c>
      <c r="G912" t="s">
        <v>16</v>
      </c>
      <c r="H912" t="s">
        <v>152</v>
      </c>
      <c r="I912">
        <v>70000</v>
      </c>
      <c r="J912">
        <v>0</v>
      </c>
      <c r="K912">
        <v>30</v>
      </c>
      <c r="L912" t="s">
        <v>18</v>
      </c>
      <c r="M912" t="s">
        <v>23</v>
      </c>
    </row>
    <row r="913" spans="1:13" x14ac:dyDescent="0.3">
      <c r="A913">
        <v>34</v>
      </c>
      <c r="B913" t="s">
        <v>13</v>
      </c>
      <c r="C913" t="s">
        <v>34</v>
      </c>
      <c r="D913" t="s">
        <v>27</v>
      </c>
      <c r="E913">
        <v>8</v>
      </c>
      <c r="F913">
        <v>1</v>
      </c>
      <c r="G913" t="s">
        <v>16</v>
      </c>
      <c r="H913" t="s">
        <v>272</v>
      </c>
      <c r="I913">
        <v>67500</v>
      </c>
      <c r="J913">
        <v>2800</v>
      </c>
      <c r="K913">
        <v>30</v>
      </c>
      <c r="L913" t="s">
        <v>18</v>
      </c>
      <c r="M913" t="s">
        <v>23</v>
      </c>
    </row>
    <row r="914" spans="1:13" x14ac:dyDescent="0.3">
      <c r="A914">
        <v>33</v>
      </c>
      <c r="B914" t="s">
        <v>13</v>
      </c>
      <c r="C914" t="s">
        <v>20</v>
      </c>
      <c r="D914" t="s">
        <v>15</v>
      </c>
      <c r="E914">
        <v>12</v>
      </c>
      <c r="F914">
        <v>5</v>
      </c>
      <c r="G914" t="s">
        <v>24</v>
      </c>
      <c r="H914" t="s">
        <v>51</v>
      </c>
      <c r="I914">
        <v>120000</v>
      </c>
      <c r="J914">
        <v>50000</v>
      </c>
      <c r="K914">
        <v>30</v>
      </c>
      <c r="L914" t="s">
        <v>18</v>
      </c>
      <c r="M914" t="s">
        <v>23</v>
      </c>
    </row>
    <row r="915" spans="1:13" x14ac:dyDescent="0.3">
      <c r="A915">
        <v>29</v>
      </c>
      <c r="B915" t="s">
        <v>13</v>
      </c>
      <c r="C915" t="s">
        <v>20</v>
      </c>
      <c r="D915" t="s">
        <v>21</v>
      </c>
      <c r="E915">
        <v>8</v>
      </c>
      <c r="F915">
        <v>1.5</v>
      </c>
      <c r="G915" t="s">
        <v>28</v>
      </c>
      <c r="H915" t="s">
        <v>51</v>
      </c>
      <c r="I915">
        <v>65000</v>
      </c>
      <c r="J915">
        <v>0</v>
      </c>
      <c r="K915">
        <v>30</v>
      </c>
      <c r="L915" t="s">
        <v>18</v>
      </c>
      <c r="M915" t="s">
        <v>23</v>
      </c>
    </row>
    <row r="916" spans="1:13" x14ac:dyDescent="0.3">
      <c r="A916">
        <v>29</v>
      </c>
      <c r="B916" t="s">
        <v>13</v>
      </c>
      <c r="C916" t="s">
        <v>20</v>
      </c>
      <c r="D916" t="s">
        <v>15</v>
      </c>
      <c r="E916">
        <v>5</v>
      </c>
      <c r="F916">
        <v>3</v>
      </c>
      <c r="G916" t="s">
        <v>16</v>
      </c>
      <c r="H916" t="s">
        <v>51</v>
      </c>
      <c r="I916">
        <v>75000</v>
      </c>
      <c r="K916">
        <v>30</v>
      </c>
      <c r="L916" t="s">
        <v>18</v>
      </c>
      <c r="M916" t="s">
        <v>23</v>
      </c>
    </row>
    <row r="917" spans="1:13" x14ac:dyDescent="0.3">
      <c r="A917">
        <v>33</v>
      </c>
      <c r="B917" t="s">
        <v>13</v>
      </c>
      <c r="C917" t="s">
        <v>117</v>
      </c>
      <c r="D917" t="s">
        <v>27</v>
      </c>
      <c r="E917">
        <v>14</v>
      </c>
      <c r="F917">
        <v>4</v>
      </c>
      <c r="G917" t="s">
        <v>16</v>
      </c>
      <c r="H917" t="s">
        <v>118</v>
      </c>
      <c r="I917">
        <v>70000</v>
      </c>
      <c r="K917">
        <v>30</v>
      </c>
      <c r="L917" t="s">
        <v>18</v>
      </c>
      <c r="M917" t="s">
        <v>23</v>
      </c>
    </row>
    <row r="918" spans="1:13" x14ac:dyDescent="0.3">
      <c r="A918">
        <v>33</v>
      </c>
      <c r="B918" t="s">
        <v>13</v>
      </c>
      <c r="C918" t="s">
        <v>20</v>
      </c>
      <c r="D918" t="s">
        <v>15</v>
      </c>
      <c r="E918">
        <v>10</v>
      </c>
      <c r="F918">
        <v>5</v>
      </c>
      <c r="G918" t="s">
        <v>16</v>
      </c>
      <c r="H918" t="s">
        <v>118</v>
      </c>
      <c r="I918">
        <v>110000</v>
      </c>
      <c r="J918">
        <v>7000</v>
      </c>
      <c r="K918">
        <v>30</v>
      </c>
      <c r="L918" t="s">
        <v>18</v>
      </c>
      <c r="M918" t="s">
        <v>23</v>
      </c>
    </row>
    <row r="919" spans="1:13" x14ac:dyDescent="0.3">
      <c r="A919">
        <v>37</v>
      </c>
      <c r="B919" t="s">
        <v>13</v>
      </c>
      <c r="C919" t="s">
        <v>20</v>
      </c>
      <c r="D919" t="s">
        <v>43</v>
      </c>
      <c r="E919">
        <v>16</v>
      </c>
      <c r="F919">
        <v>2</v>
      </c>
      <c r="G919" t="s">
        <v>16</v>
      </c>
      <c r="H919" t="s">
        <v>46</v>
      </c>
      <c r="I919">
        <v>65000</v>
      </c>
      <c r="J919">
        <v>0</v>
      </c>
      <c r="K919">
        <v>30</v>
      </c>
      <c r="L919" t="s">
        <v>18</v>
      </c>
      <c r="M919" t="s">
        <v>23</v>
      </c>
    </row>
    <row r="920" spans="1:13" x14ac:dyDescent="0.3">
      <c r="A920">
        <v>36</v>
      </c>
      <c r="B920" t="s">
        <v>13</v>
      </c>
      <c r="C920" t="s">
        <v>14</v>
      </c>
      <c r="D920" t="s">
        <v>15</v>
      </c>
      <c r="E920">
        <v>13</v>
      </c>
      <c r="F920">
        <v>5</v>
      </c>
      <c r="G920" t="s">
        <v>62</v>
      </c>
      <c r="H920" t="s">
        <v>32</v>
      </c>
      <c r="I920">
        <v>90000</v>
      </c>
      <c r="J920">
        <v>5000</v>
      </c>
      <c r="K920">
        <v>30</v>
      </c>
      <c r="L920" t="s">
        <v>18</v>
      </c>
      <c r="M920" t="s">
        <v>23</v>
      </c>
    </row>
    <row r="921" spans="1:13" x14ac:dyDescent="0.3">
      <c r="A921">
        <v>38</v>
      </c>
      <c r="B921" t="s">
        <v>13</v>
      </c>
      <c r="C921" t="s">
        <v>20</v>
      </c>
      <c r="D921" t="s">
        <v>239</v>
      </c>
      <c r="E921">
        <v>24</v>
      </c>
      <c r="F921">
        <v>1</v>
      </c>
      <c r="G921" t="s">
        <v>62</v>
      </c>
      <c r="H921" t="s">
        <v>32</v>
      </c>
      <c r="I921">
        <v>130000</v>
      </c>
      <c r="K921">
        <v>30</v>
      </c>
      <c r="L921" t="s">
        <v>18</v>
      </c>
      <c r="M921" t="s">
        <v>23</v>
      </c>
    </row>
    <row r="922" spans="1:13" x14ac:dyDescent="0.3">
      <c r="A922">
        <v>39</v>
      </c>
      <c r="B922" t="s">
        <v>13</v>
      </c>
      <c r="C922" t="s">
        <v>20</v>
      </c>
      <c r="D922" t="s">
        <v>69</v>
      </c>
      <c r="E922">
        <v>15</v>
      </c>
      <c r="F922">
        <v>10</v>
      </c>
      <c r="G922" t="s">
        <v>24</v>
      </c>
      <c r="H922" t="s">
        <v>32</v>
      </c>
      <c r="I922">
        <v>78000</v>
      </c>
      <c r="J922">
        <v>12000</v>
      </c>
      <c r="K922">
        <v>30</v>
      </c>
      <c r="L922" t="s">
        <v>36</v>
      </c>
      <c r="M922" t="s">
        <v>23</v>
      </c>
    </row>
    <row r="923" spans="1:13" x14ac:dyDescent="0.3">
      <c r="A923">
        <v>34</v>
      </c>
      <c r="B923" t="s">
        <v>13</v>
      </c>
      <c r="C923" t="s">
        <v>20</v>
      </c>
      <c r="D923" t="s">
        <v>52</v>
      </c>
      <c r="E923">
        <v>10</v>
      </c>
      <c r="F923">
        <v>5</v>
      </c>
      <c r="G923" t="s">
        <v>24</v>
      </c>
      <c r="H923" t="s">
        <v>32</v>
      </c>
      <c r="I923">
        <v>85000</v>
      </c>
      <c r="K923">
        <v>30</v>
      </c>
      <c r="L923" t="s">
        <v>18</v>
      </c>
      <c r="M923" t="s">
        <v>23</v>
      </c>
    </row>
    <row r="924" spans="1:13" x14ac:dyDescent="0.3">
      <c r="A924">
        <v>35</v>
      </c>
      <c r="B924" t="s">
        <v>13</v>
      </c>
      <c r="C924" t="s">
        <v>20</v>
      </c>
      <c r="D924" t="s">
        <v>15</v>
      </c>
      <c r="E924">
        <v>15</v>
      </c>
      <c r="F924">
        <v>3</v>
      </c>
      <c r="G924" t="s">
        <v>24</v>
      </c>
      <c r="H924" t="s">
        <v>32</v>
      </c>
      <c r="I924">
        <v>95000</v>
      </c>
      <c r="K924">
        <v>30</v>
      </c>
      <c r="L924" t="s">
        <v>18</v>
      </c>
      <c r="M924" t="s">
        <v>23</v>
      </c>
    </row>
    <row r="925" spans="1:13" x14ac:dyDescent="0.3">
      <c r="A925">
        <v>42</v>
      </c>
      <c r="B925" t="s">
        <v>13</v>
      </c>
      <c r="C925" t="s">
        <v>20</v>
      </c>
      <c r="D925" t="s">
        <v>15</v>
      </c>
      <c r="E925">
        <v>12</v>
      </c>
      <c r="F925">
        <v>12</v>
      </c>
      <c r="G925" t="s">
        <v>24</v>
      </c>
      <c r="H925" t="s">
        <v>32</v>
      </c>
      <c r="I925">
        <v>95000</v>
      </c>
      <c r="K925">
        <v>30</v>
      </c>
      <c r="L925" t="s">
        <v>18</v>
      </c>
      <c r="M925" t="s">
        <v>23</v>
      </c>
    </row>
    <row r="926" spans="1:13" x14ac:dyDescent="0.3">
      <c r="A926">
        <v>42</v>
      </c>
      <c r="B926" t="s">
        <v>13</v>
      </c>
      <c r="C926" t="s">
        <v>20</v>
      </c>
      <c r="D926" t="s">
        <v>15</v>
      </c>
      <c r="E926">
        <v>12</v>
      </c>
      <c r="F926">
        <v>12</v>
      </c>
      <c r="G926" t="s">
        <v>24</v>
      </c>
      <c r="H926" t="s">
        <v>32</v>
      </c>
      <c r="I926">
        <v>95000</v>
      </c>
      <c r="K926">
        <v>30</v>
      </c>
      <c r="L926" t="s">
        <v>18</v>
      </c>
      <c r="M926" t="s">
        <v>23</v>
      </c>
    </row>
    <row r="927" spans="1:13" x14ac:dyDescent="0.3">
      <c r="A927">
        <v>42</v>
      </c>
      <c r="B927" t="s">
        <v>13</v>
      </c>
      <c r="C927" t="s">
        <v>20</v>
      </c>
      <c r="D927" t="s">
        <v>15</v>
      </c>
      <c r="E927">
        <v>12</v>
      </c>
      <c r="F927">
        <v>12</v>
      </c>
      <c r="G927" t="s">
        <v>24</v>
      </c>
      <c r="H927" t="s">
        <v>32</v>
      </c>
      <c r="I927">
        <v>95000</v>
      </c>
      <c r="K927">
        <v>30</v>
      </c>
      <c r="L927" t="s">
        <v>18</v>
      </c>
      <c r="M927" t="s">
        <v>23</v>
      </c>
    </row>
    <row r="928" spans="1:13" x14ac:dyDescent="0.3">
      <c r="A928">
        <v>42</v>
      </c>
      <c r="B928" t="s">
        <v>13</v>
      </c>
      <c r="C928" t="s">
        <v>20</v>
      </c>
      <c r="D928" t="s">
        <v>15</v>
      </c>
      <c r="E928">
        <v>12</v>
      </c>
      <c r="F928">
        <v>12</v>
      </c>
      <c r="G928" t="s">
        <v>24</v>
      </c>
      <c r="H928" t="s">
        <v>32</v>
      </c>
      <c r="I928">
        <v>95000</v>
      </c>
      <c r="K928">
        <v>30</v>
      </c>
      <c r="L928" t="s">
        <v>18</v>
      </c>
      <c r="M928" t="s">
        <v>23</v>
      </c>
    </row>
    <row r="929" spans="1:13" x14ac:dyDescent="0.3">
      <c r="A929">
        <v>28</v>
      </c>
      <c r="B929" t="s">
        <v>13</v>
      </c>
      <c r="C929" t="s">
        <v>84</v>
      </c>
      <c r="D929" t="s">
        <v>21</v>
      </c>
      <c r="E929">
        <v>4</v>
      </c>
      <c r="F929">
        <v>4</v>
      </c>
      <c r="G929" t="s">
        <v>28</v>
      </c>
      <c r="H929" t="s">
        <v>32</v>
      </c>
      <c r="I929">
        <v>44000</v>
      </c>
      <c r="J929">
        <v>6000</v>
      </c>
      <c r="K929">
        <v>30</v>
      </c>
      <c r="L929" t="s">
        <v>36</v>
      </c>
      <c r="M929" t="s">
        <v>23</v>
      </c>
    </row>
    <row r="930" spans="1:13" x14ac:dyDescent="0.3">
      <c r="A930">
        <v>28</v>
      </c>
      <c r="B930" t="s">
        <v>13</v>
      </c>
      <c r="C930" t="s">
        <v>59</v>
      </c>
      <c r="D930" t="s">
        <v>21</v>
      </c>
      <c r="E930">
        <v>5</v>
      </c>
      <c r="F930">
        <v>1.5</v>
      </c>
      <c r="G930" t="s">
        <v>28</v>
      </c>
      <c r="H930" t="s">
        <v>32</v>
      </c>
      <c r="I930">
        <v>55000</v>
      </c>
      <c r="J930">
        <v>5000</v>
      </c>
      <c r="K930">
        <v>30</v>
      </c>
      <c r="L930" t="s">
        <v>36</v>
      </c>
      <c r="M930" t="s">
        <v>23</v>
      </c>
    </row>
    <row r="931" spans="1:13" x14ac:dyDescent="0.3">
      <c r="A931">
        <v>25</v>
      </c>
      <c r="B931" t="s">
        <v>13</v>
      </c>
      <c r="C931" t="s">
        <v>59</v>
      </c>
      <c r="D931" t="s">
        <v>21</v>
      </c>
      <c r="E931">
        <v>4</v>
      </c>
      <c r="F931">
        <v>2</v>
      </c>
      <c r="G931" t="s">
        <v>28</v>
      </c>
      <c r="H931" t="s">
        <v>32</v>
      </c>
      <c r="I931">
        <v>60000</v>
      </c>
      <c r="K931">
        <v>30</v>
      </c>
      <c r="L931" t="s">
        <v>36</v>
      </c>
      <c r="M931" t="s">
        <v>23</v>
      </c>
    </row>
    <row r="932" spans="1:13" x14ac:dyDescent="0.3">
      <c r="A932">
        <v>33</v>
      </c>
      <c r="B932" t="s">
        <v>13</v>
      </c>
      <c r="C932" t="s">
        <v>20</v>
      </c>
      <c r="D932" t="s">
        <v>21</v>
      </c>
      <c r="E932">
        <v>5</v>
      </c>
      <c r="F932">
        <v>2</v>
      </c>
      <c r="G932" t="s">
        <v>28</v>
      </c>
      <c r="H932" t="s">
        <v>32</v>
      </c>
      <c r="I932">
        <v>66000</v>
      </c>
      <c r="J932">
        <v>70000</v>
      </c>
      <c r="K932">
        <v>30</v>
      </c>
      <c r="L932" t="s">
        <v>18</v>
      </c>
      <c r="M932" t="s">
        <v>23</v>
      </c>
    </row>
    <row r="933" spans="1:13" x14ac:dyDescent="0.3">
      <c r="A933">
        <v>34</v>
      </c>
      <c r="B933" t="s">
        <v>13</v>
      </c>
      <c r="C933" t="s">
        <v>20</v>
      </c>
      <c r="D933" t="s">
        <v>21</v>
      </c>
      <c r="E933">
        <v>10</v>
      </c>
      <c r="F933">
        <v>4</v>
      </c>
      <c r="G933" t="s">
        <v>28</v>
      </c>
      <c r="H933" t="s">
        <v>32</v>
      </c>
      <c r="I933">
        <v>65600</v>
      </c>
      <c r="J933">
        <v>800</v>
      </c>
      <c r="K933">
        <v>30</v>
      </c>
      <c r="L933" t="s">
        <v>18</v>
      </c>
      <c r="M933" t="s">
        <v>23</v>
      </c>
    </row>
    <row r="934" spans="1:13" x14ac:dyDescent="0.3">
      <c r="A934">
        <v>32</v>
      </c>
      <c r="B934" t="s">
        <v>13</v>
      </c>
      <c r="C934" t="s">
        <v>20</v>
      </c>
      <c r="D934" t="s">
        <v>21</v>
      </c>
      <c r="E934">
        <v>3</v>
      </c>
      <c r="F934">
        <v>1</v>
      </c>
      <c r="G934" t="s">
        <v>28</v>
      </c>
      <c r="H934" t="s">
        <v>32</v>
      </c>
      <c r="I934">
        <v>77000</v>
      </c>
      <c r="K934">
        <v>30</v>
      </c>
      <c r="L934" t="s">
        <v>18</v>
      </c>
      <c r="M934" t="s">
        <v>23</v>
      </c>
    </row>
    <row r="935" spans="1:13" x14ac:dyDescent="0.3">
      <c r="A935">
        <v>30</v>
      </c>
      <c r="B935" t="s">
        <v>13</v>
      </c>
      <c r="C935" t="s">
        <v>20</v>
      </c>
      <c r="D935" t="s">
        <v>154</v>
      </c>
      <c r="E935">
        <v>3</v>
      </c>
      <c r="F935">
        <v>3</v>
      </c>
      <c r="G935" t="s">
        <v>28</v>
      </c>
      <c r="H935" t="s">
        <v>32</v>
      </c>
      <c r="I935">
        <v>58000</v>
      </c>
      <c r="J935">
        <v>0</v>
      </c>
      <c r="K935">
        <v>30</v>
      </c>
      <c r="L935" t="s">
        <v>18</v>
      </c>
      <c r="M935" t="s">
        <v>23</v>
      </c>
    </row>
    <row r="936" spans="1:13" x14ac:dyDescent="0.3">
      <c r="A936">
        <v>31</v>
      </c>
      <c r="B936" t="s">
        <v>33</v>
      </c>
      <c r="C936" t="s">
        <v>276</v>
      </c>
      <c r="D936" t="s">
        <v>52</v>
      </c>
      <c r="E936">
        <v>8</v>
      </c>
      <c r="F936">
        <v>3</v>
      </c>
      <c r="G936" t="s">
        <v>28</v>
      </c>
      <c r="H936" t="s">
        <v>32</v>
      </c>
      <c r="I936">
        <v>45000</v>
      </c>
      <c r="K936">
        <v>30</v>
      </c>
      <c r="L936" t="s">
        <v>18</v>
      </c>
      <c r="M936" t="s">
        <v>23</v>
      </c>
    </row>
    <row r="937" spans="1:13" x14ac:dyDescent="0.3">
      <c r="A937">
        <v>27</v>
      </c>
      <c r="B937" t="s">
        <v>13</v>
      </c>
      <c r="C937" t="s">
        <v>20</v>
      </c>
      <c r="D937" t="s">
        <v>52</v>
      </c>
      <c r="E937">
        <v>5</v>
      </c>
      <c r="F937">
        <v>1.5</v>
      </c>
      <c r="G937" t="s">
        <v>28</v>
      </c>
      <c r="H937" t="s">
        <v>32</v>
      </c>
      <c r="I937">
        <v>56700</v>
      </c>
      <c r="K937">
        <v>30</v>
      </c>
      <c r="L937" t="s">
        <v>18</v>
      </c>
      <c r="M937" t="s">
        <v>23</v>
      </c>
    </row>
    <row r="938" spans="1:13" x14ac:dyDescent="0.3">
      <c r="A938">
        <v>37</v>
      </c>
      <c r="B938" t="s">
        <v>33</v>
      </c>
      <c r="C938" t="s">
        <v>34</v>
      </c>
      <c r="D938" t="s">
        <v>388</v>
      </c>
      <c r="E938">
        <v>7</v>
      </c>
      <c r="F938">
        <v>7</v>
      </c>
      <c r="G938" t="s">
        <v>28</v>
      </c>
      <c r="H938" t="s">
        <v>32</v>
      </c>
      <c r="I938">
        <v>46000</v>
      </c>
      <c r="J938">
        <v>2000</v>
      </c>
      <c r="K938">
        <v>30</v>
      </c>
      <c r="L938" t="s">
        <v>36</v>
      </c>
      <c r="M938" t="s">
        <v>23</v>
      </c>
    </row>
    <row r="939" spans="1:13" x14ac:dyDescent="0.3">
      <c r="A939">
        <v>40</v>
      </c>
      <c r="B939" t="s">
        <v>33</v>
      </c>
      <c r="C939" t="s">
        <v>14</v>
      </c>
      <c r="D939" t="s">
        <v>15</v>
      </c>
      <c r="E939">
        <v>20</v>
      </c>
      <c r="F939">
        <v>7</v>
      </c>
      <c r="G939" t="s">
        <v>28</v>
      </c>
      <c r="H939" t="s">
        <v>32</v>
      </c>
      <c r="I939">
        <v>54000</v>
      </c>
      <c r="K939">
        <v>30</v>
      </c>
      <c r="L939" t="s">
        <v>36</v>
      </c>
      <c r="M939" t="s">
        <v>23</v>
      </c>
    </row>
    <row r="940" spans="1:13" x14ac:dyDescent="0.3">
      <c r="A940">
        <v>30</v>
      </c>
      <c r="B940" t="s">
        <v>13</v>
      </c>
      <c r="C940" t="s">
        <v>104</v>
      </c>
      <c r="D940" t="s">
        <v>15</v>
      </c>
      <c r="E940">
        <v>9</v>
      </c>
      <c r="F940">
        <v>5</v>
      </c>
      <c r="G940" t="s">
        <v>28</v>
      </c>
      <c r="H940" t="s">
        <v>32</v>
      </c>
      <c r="I940">
        <v>63000</v>
      </c>
      <c r="K940">
        <v>30</v>
      </c>
      <c r="L940" t="s">
        <v>36</v>
      </c>
      <c r="M940" t="s">
        <v>23</v>
      </c>
    </row>
    <row r="941" spans="1:13" x14ac:dyDescent="0.3">
      <c r="A941">
        <v>28</v>
      </c>
      <c r="B941" t="s">
        <v>13</v>
      </c>
      <c r="C941" t="s">
        <v>14</v>
      </c>
      <c r="D941" t="s">
        <v>15</v>
      </c>
      <c r="E941">
        <v>7</v>
      </c>
      <c r="F941">
        <v>3</v>
      </c>
      <c r="G941" t="s">
        <v>28</v>
      </c>
      <c r="H941" t="s">
        <v>32</v>
      </c>
      <c r="I941">
        <v>63000</v>
      </c>
      <c r="J941">
        <v>4000</v>
      </c>
      <c r="K941">
        <v>30</v>
      </c>
      <c r="L941" t="s">
        <v>18</v>
      </c>
      <c r="M941" t="s">
        <v>23</v>
      </c>
    </row>
    <row r="942" spans="1:13" x14ac:dyDescent="0.3">
      <c r="A942">
        <v>28</v>
      </c>
      <c r="B942" t="s">
        <v>13</v>
      </c>
      <c r="C942" t="s">
        <v>39</v>
      </c>
      <c r="D942" t="s">
        <v>15</v>
      </c>
      <c r="E942">
        <v>3</v>
      </c>
      <c r="F942">
        <v>1</v>
      </c>
      <c r="G942" t="s">
        <v>28</v>
      </c>
      <c r="H942" t="s">
        <v>32</v>
      </c>
      <c r="I942">
        <v>42000</v>
      </c>
      <c r="K942">
        <v>30</v>
      </c>
      <c r="L942" t="s">
        <v>18</v>
      </c>
      <c r="M942" t="s">
        <v>23</v>
      </c>
    </row>
    <row r="943" spans="1:13" x14ac:dyDescent="0.3">
      <c r="A943">
        <v>25</v>
      </c>
      <c r="B943" t="s">
        <v>13</v>
      </c>
      <c r="C943" t="s">
        <v>14</v>
      </c>
      <c r="D943" t="s">
        <v>15</v>
      </c>
      <c r="E943">
        <v>3</v>
      </c>
      <c r="F943">
        <v>1</v>
      </c>
      <c r="G943" t="s">
        <v>28</v>
      </c>
      <c r="H943" t="s">
        <v>32</v>
      </c>
      <c r="I943">
        <v>62000</v>
      </c>
      <c r="K943">
        <v>30</v>
      </c>
      <c r="L943" t="s">
        <v>18</v>
      </c>
      <c r="M943" t="s">
        <v>23</v>
      </c>
    </row>
    <row r="944" spans="1:13" x14ac:dyDescent="0.3">
      <c r="A944">
        <v>38</v>
      </c>
      <c r="B944" t="s">
        <v>13</v>
      </c>
      <c r="C944" t="s">
        <v>14</v>
      </c>
      <c r="D944" t="s">
        <v>21</v>
      </c>
      <c r="E944">
        <v>12</v>
      </c>
      <c r="F944">
        <v>12</v>
      </c>
      <c r="G944" t="s">
        <v>16</v>
      </c>
      <c r="H944" t="s">
        <v>32</v>
      </c>
      <c r="I944">
        <v>70000</v>
      </c>
      <c r="J944">
        <v>1500</v>
      </c>
      <c r="K944">
        <v>30</v>
      </c>
      <c r="L944" t="s">
        <v>36</v>
      </c>
      <c r="M944" t="s">
        <v>23</v>
      </c>
    </row>
    <row r="945" spans="1:13" x14ac:dyDescent="0.3">
      <c r="A945">
        <v>28</v>
      </c>
      <c r="B945" t="s">
        <v>13</v>
      </c>
      <c r="C945" t="s">
        <v>14</v>
      </c>
      <c r="D945" t="s">
        <v>21</v>
      </c>
      <c r="E945">
        <v>6</v>
      </c>
      <c r="F945">
        <v>5</v>
      </c>
      <c r="G945" t="s">
        <v>16</v>
      </c>
      <c r="H945" t="s">
        <v>32</v>
      </c>
      <c r="I945">
        <v>70000</v>
      </c>
      <c r="J945">
        <v>2000</v>
      </c>
      <c r="K945">
        <v>30</v>
      </c>
      <c r="L945" t="s">
        <v>18</v>
      </c>
      <c r="M945" t="s">
        <v>23</v>
      </c>
    </row>
    <row r="946" spans="1:13" x14ac:dyDescent="0.3">
      <c r="A946">
        <v>35</v>
      </c>
      <c r="B946" t="s">
        <v>13</v>
      </c>
      <c r="C946" t="s">
        <v>14</v>
      </c>
      <c r="D946" t="s">
        <v>21</v>
      </c>
      <c r="E946">
        <v>14</v>
      </c>
      <c r="F946">
        <v>2.5</v>
      </c>
      <c r="G946" t="s">
        <v>16</v>
      </c>
      <c r="H946" t="s">
        <v>32</v>
      </c>
      <c r="I946">
        <v>77000</v>
      </c>
      <c r="J946">
        <v>0</v>
      </c>
      <c r="K946">
        <v>30</v>
      </c>
      <c r="L946" t="s">
        <v>18</v>
      </c>
      <c r="M946" t="s">
        <v>23</v>
      </c>
    </row>
    <row r="947" spans="1:13" x14ac:dyDescent="0.3">
      <c r="A947">
        <v>41</v>
      </c>
      <c r="B947" t="s">
        <v>13</v>
      </c>
      <c r="C947" t="s">
        <v>14</v>
      </c>
      <c r="D947" t="s">
        <v>21</v>
      </c>
      <c r="E947">
        <v>21</v>
      </c>
      <c r="F947">
        <v>3</v>
      </c>
      <c r="G947" t="s">
        <v>16</v>
      </c>
      <c r="H947" t="s">
        <v>32</v>
      </c>
      <c r="I947">
        <v>80000</v>
      </c>
      <c r="J947">
        <v>0</v>
      </c>
      <c r="K947">
        <v>30</v>
      </c>
      <c r="L947" t="s">
        <v>18</v>
      </c>
      <c r="M947" t="s">
        <v>23</v>
      </c>
    </row>
    <row r="948" spans="1:13" x14ac:dyDescent="0.3">
      <c r="A948">
        <v>26</v>
      </c>
      <c r="B948" t="s">
        <v>13</v>
      </c>
      <c r="C948" t="s">
        <v>70</v>
      </c>
      <c r="D948" t="s">
        <v>21</v>
      </c>
      <c r="E948">
        <v>7</v>
      </c>
      <c r="F948">
        <v>1.5</v>
      </c>
      <c r="G948" t="s">
        <v>16</v>
      </c>
      <c r="H948" t="s">
        <v>32</v>
      </c>
      <c r="I948">
        <v>65000</v>
      </c>
      <c r="K948">
        <v>30</v>
      </c>
      <c r="L948" t="s">
        <v>18</v>
      </c>
      <c r="M948" t="s">
        <v>23</v>
      </c>
    </row>
    <row r="949" spans="1:13" x14ac:dyDescent="0.3">
      <c r="A949">
        <v>36</v>
      </c>
      <c r="B949" t="s">
        <v>13</v>
      </c>
      <c r="C949" t="s">
        <v>20</v>
      </c>
      <c r="D949" t="s">
        <v>21</v>
      </c>
      <c r="E949">
        <v>10</v>
      </c>
      <c r="F949">
        <v>3</v>
      </c>
      <c r="G949" t="s">
        <v>16</v>
      </c>
      <c r="H949" t="s">
        <v>32</v>
      </c>
      <c r="I949">
        <v>75000</v>
      </c>
      <c r="K949">
        <v>30</v>
      </c>
      <c r="L949" t="s">
        <v>18</v>
      </c>
      <c r="M949" t="s">
        <v>23</v>
      </c>
    </row>
    <row r="950" spans="1:13" x14ac:dyDescent="0.3">
      <c r="A950">
        <v>33</v>
      </c>
      <c r="B950" t="s">
        <v>13</v>
      </c>
      <c r="C950" t="s">
        <v>20</v>
      </c>
      <c r="D950" t="s">
        <v>21</v>
      </c>
      <c r="E950">
        <v>13</v>
      </c>
      <c r="F950">
        <v>5</v>
      </c>
      <c r="G950" t="s">
        <v>16</v>
      </c>
      <c r="H950" t="s">
        <v>32</v>
      </c>
      <c r="I950">
        <v>78600</v>
      </c>
      <c r="K950">
        <v>30</v>
      </c>
      <c r="L950" t="s">
        <v>18</v>
      </c>
      <c r="M950" t="s">
        <v>23</v>
      </c>
    </row>
    <row r="951" spans="1:13" x14ac:dyDescent="0.3">
      <c r="A951">
        <v>37</v>
      </c>
      <c r="B951" t="s">
        <v>13</v>
      </c>
      <c r="C951" t="s">
        <v>20</v>
      </c>
      <c r="D951" t="s">
        <v>21</v>
      </c>
      <c r="E951">
        <v>12</v>
      </c>
      <c r="F951">
        <v>3</v>
      </c>
      <c r="G951" t="s">
        <v>16</v>
      </c>
      <c r="H951" t="s">
        <v>32</v>
      </c>
      <c r="I951">
        <v>102000</v>
      </c>
      <c r="K951">
        <v>30</v>
      </c>
      <c r="L951" t="s">
        <v>18</v>
      </c>
      <c r="M951" t="s">
        <v>23</v>
      </c>
    </row>
    <row r="952" spans="1:13" x14ac:dyDescent="0.3">
      <c r="A952">
        <v>32</v>
      </c>
      <c r="B952" t="s">
        <v>33</v>
      </c>
      <c r="C952" t="s">
        <v>20</v>
      </c>
      <c r="D952" t="s">
        <v>52</v>
      </c>
      <c r="E952">
        <v>10</v>
      </c>
      <c r="G952" t="s">
        <v>16</v>
      </c>
      <c r="H952" t="s">
        <v>32</v>
      </c>
      <c r="I952">
        <v>61000</v>
      </c>
      <c r="K952">
        <v>30</v>
      </c>
      <c r="L952" t="s">
        <v>18</v>
      </c>
      <c r="M952" t="s">
        <v>23</v>
      </c>
    </row>
    <row r="953" spans="1:13" x14ac:dyDescent="0.3">
      <c r="A953">
        <v>35</v>
      </c>
      <c r="B953" t="s">
        <v>13</v>
      </c>
      <c r="C953" t="s">
        <v>20</v>
      </c>
      <c r="D953" t="s">
        <v>52</v>
      </c>
      <c r="E953">
        <v>11</v>
      </c>
      <c r="F953">
        <v>10</v>
      </c>
      <c r="G953" t="s">
        <v>16</v>
      </c>
      <c r="H953" t="s">
        <v>32</v>
      </c>
      <c r="I953">
        <v>74400</v>
      </c>
      <c r="K953">
        <v>30</v>
      </c>
      <c r="L953" t="s">
        <v>18</v>
      </c>
      <c r="M953" t="s">
        <v>23</v>
      </c>
    </row>
    <row r="954" spans="1:13" x14ac:dyDescent="0.3">
      <c r="A954">
        <v>39</v>
      </c>
      <c r="B954" t="s">
        <v>33</v>
      </c>
      <c r="C954" t="s">
        <v>20</v>
      </c>
      <c r="D954" t="s">
        <v>15</v>
      </c>
      <c r="E954">
        <v>10</v>
      </c>
      <c r="F954">
        <v>10</v>
      </c>
      <c r="G954" t="s">
        <v>16</v>
      </c>
      <c r="H954" t="s">
        <v>32</v>
      </c>
      <c r="I954">
        <v>70500</v>
      </c>
      <c r="J954">
        <v>1000</v>
      </c>
      <c r="K954">
        <v>30</v>
      </c>
      <c r="L954" t="s">
        <v>36</v>
      </c>
      <c r="M954" t="s">
        <v>23</v>
      </c>
    </row>
    <row r="955" spans="1:13" x14ac:dyDescent="0.3">
      <c r="A955">
        <v>49</v>
      </c>
      <c r="B955" t="s">
        <v>13</v>
      </c>
      <c r="C955" t="s">
        <v>14</v>
      </c>
      <c r="D955" t="s">
        <v>15</v>
      </c>
      <c r="E955">
        <v>27</v>
      </c>
      <c r="F955">
        <v>19</v>
      </c>
      <c r="G955" t="s">
        <v>16</v>
      </c>
      <c r="H955" t="s">
        <v>32</v>
      </c>
      <c r="I955">
        <v>57000</v>
      </c>
      <c r="J955">
        <v>0</v>
      </c>
      <c r="K955">
        <v>30</v>
      </c>
      <c r="L955" t="s">
        <v>36</v>
      </c>
      <c r="M955" t="s">
        <v>23</v>
      </c>
    </row>
    <row r="956" spans="1:13" x14ac:dyDescent="0.3">
      <c r="A956">
        <v>31</v>
      </c>
      <c r="B956" t="s">
        <v>13</v>
      </c>
      <c r="C956" t="s">
        <v>20</v>
      </c>
      <c r="D956" t="s">
        <v>15</v>
      </c>
      <c r="E956">
        <v>7</v>
      </c>
      <c r="F956">
        <v>2</v>
      </c>
      <c r="G956" t="s">
        <v>16</v>
      </c>
      <c r="H956" t="s">
        <v>32</v>
      </c>
      <c r="I956">
        <v>75000</v>
      </c>
      <c r="J956">
        <v>12500</v>
      </c>
      <c r="K956">
        <v>30</v>
      </c>
      <c r="L956" t="s">
        <v>18</v>
      </c>
      <c r="M956" t="s">
        <v>23</v>
      </c>
    </row>
    <row r="957" spans="1:13" x14ac:dyDescent="0.3">
      <c r="A957">
        <v>35</v>
      </c>
      <c r="B957" t="s">
        <v>13</v>
      </c>
      <c r="C957" t="s">
        <v>20</v>
      </c>
      <c r="D957" t="s">
        <v>15</v>
      </c>
      <c r="E957">
        <v>15</v>
      </c>
      <c r="F957">
        <v>4</v>
      </c>
      <c r="G957" t="s">
        <v>16</v>
      </c>
      <c r="H957" t="s">
        <v>32</v>
      </c>
      <c r="I957">
        <v>85000</v>
      </c>
      <c r="J957">
        <v>10000</v>
      </c>
      <c r="K957">
        <v>30</v>
      </c>
      <c r="L957" t="s">
        <v>18</v>
      </c>
      <c r="M957" t="s">
        <v>23</v>
      </c>
    </row>
    <row r="958" spans="1:13" x14ac:dyDescent="0.3">
      <c r="A958">
        <v>33</v>
      </c>
      <c r="B958" t="s">
        <v>13</v>
      </c>
      <c r="C958" t="s">
        <v>14</v>
      </c>
      <c r="D958" t="s">
        <v>15</v>
      </c>
      <c r="E958">
        <v>10</v>
      </c>
      <c r="F958">
        <v>3</v>
      </c>
      <c r="G958" t="s">
        <v>16</v>
      </c>
      <c r="H958" t="s">
        <v>32</v>
      </c>
      <c r="I958">
        <v>75000</v>
      </c>
      <c r="J958">
        <v>7500</v>
      </c>
      <c r="K958">
        <v>30</v>
      </c>
      <c r="L958" t="s">
        <v>18</v>
      </c>
      <c r="M958" t="s">
        <v>23</v>
      </c>
    </row>
    <row r="959" spans="1:13" x14ac:dyDescent="0.3">
      <c r="A959">
        <v>35</v>
      </c>
      <c r="B959" t="s">
        <v>13</v>
      </c>
      <c r="C959" t="s">
        <v>70</v>
      </c>
      <c r="D959" t="s">
        <v>15</v>
      </c>
      <c r="E959">
        <v>10</v>
      </c>
      <c r="F959">
        <v>1</v>
      </c>
      <c r="G959" t="s">
        <v>16</v>
      </c>
      <c r="H959" t="s">
        <v>32</v>
      </c>
      <c r="I959">
        <v>60000</v>
      </c>
      <c r="J959">
        <v>5000</v>
      </c>
      <c r="K959">
        <v>30</v>
      </c>
      <c r="L959" t="s">
        <v>18</v>
      </c>
      <c r="M959" t="s">
        <v>23</v>
      </c>
    </row>
    <row r="960" spans="1:13" x14ac:dyDescent="0.3">
      <c r="A960">
        <v>34</v>
      </c>
      <c r="B960" t="s">
        <v>13</v>
      </c>
      <c r="C960" t="s">
        <v>14</v>
      </c>
      <c r="D960" t="s">
        <v>15</v>
      </c>
      <c r="E960">
        <v>12</v>
      </c>
      <c r="F960">
        <v>8</v>
      </c>
      <c r="G960" t="s">
        <v>16</v>
      </c>
      <c r="H960" t="s">
        <v>32</v>
      </c>
      <c r="I960">
        <v>74000</v>
      </c>
      <c r="J960">
        <v>0</v>
      </c>
      <c r="K960">
        <v>30</v>
      </c>
      <c r="L960" t="s">
        <v>18</v>
      </c>
      <c r="M960" t="s">
        <v>23</v>
      </c>
    </row>
    <row r="961" spans="1:13" x14ac:dyDescent="0.3">
      <c r="A961">
        <v>36</v>
      </c>
      <c r="B961" t="s">
        <v>13</v>
      </c>
      <c r="C961" t="s">
        <v>20</v>
      </c>
      <c r="D961" t="s">
        <v>205</v>
      </c>
      <c r="E961">
        <v>15</v>
      </c>
      <c r="F961">
        <v>13</v>
      </c>
      <c r="G961" t="s">
        <v>315</v>
      </c>
      <c r="H961" t="s">
        <v>32</v>
      </c>
      <c r="I961">
        <v>150000</v>
      </c>
      <c r="J961">
        <v>50000</v>
      </c>
      <c r="K961">
        <v>30</v>
      </c>
      <c r="L961" t="s">
        <v>36</v>
      </c>
      <c r="M961" t="s">
        <v>23</v>
      </c>
    </row>
    <row r="962" spans="1:13" x14ac:dyDescent="0.3">
      <c r="A962">
        <v>44</v>
      </c>
      <c r="B962" t="s">
        <v>13</v>
      </c>
      <c r="C962" t="s">
        <v>14</v>
      </c>
      <c r="D962" t="s">
        <v>403</v>
      </c>
      <c r="E962">
        <v>20</v>
      </c>
      <c r="F962">
        <v>20</v>
      </c>
      <c r="G962" t="s">
        <v>62</v>
      </c>
      <c r="H962" t="s">
        <v>32</v>
      </c>
      <c r="I962">
        <v>95000</v>
      </c>
      <c r="J962">
        <v>15000</v>
      </c>
      <c r="K962">
        <v>30</v>
      </c>
      <c r="L962" t="s">
        <v>36</v>
      </c>
      <c r="M962" t="s">
        <v>23</v>
      </c>
    </row>
    <row r="963" spans="1:13" x14ac:dyDescent="0.3">
      <c r="A963">
        <v>22</v>
      </c>
      <c r="B963" t="s">
        <v>13</v>
      </c>
      <c r="C963" t="s">
        <v>20</v>
      </c>
      <c r="D963" t="s">
        <v>245</v>
      </c>
      <c r="E963">
        <v>4</v>
      </c>
      <c r="F963">
        <v>4</v>
      </c>
      <c r="G963" t="s">
        <v>28</v>
      </c>
      <c r="H963" t="s">
        <v>32</v>
      </c>
      <c r="I963">
        <v>63000</v>
      </c>
      <c r="K963">
        <v>30</v>
      </c>
      <c r="L963" t="s">
        <v>18</v>
      </c>
      <c r="M963" t="s">
        <v>23</v>
      </c>
    </row>
    <row r="964" spans="1:13" x14ac:dyDescent="0.3">
      <c r="A964">
        <v>32</v>
      </c>
      <c r="B964" t="s">
        <v>13</v>
      </c>
      <c r="C964" t="s">
        <v>133</v>
      </c>
      <c r="D964" t="s">
        <v>159</v>
      </c>
      <c r="E964">
        <v>8</v>
      </c>
      <c r="F964">
        <v>2</v>
      </c>
      <c r="G964" t="s">
        <v>16</v>
      </c>
      <c r="H964" t="s">
        <v>32</v>
      </c>
      <c r="I964">
        <v>60000</v>
      </c>
      <c r="J964">
        <v>0</v>
      </c>
      <c r="K964">
        <v>30</v>
      </c>
      <c r="L964" t="s">
        <v>36</v>
      </c>
      <c r="M964" t="s">
        <v>23</v>
      </c>
    </row>
    <row r="965" spans="1:13" x14ac:dyDescent="0.3">
      <c r="A965">
        <v>29</v>
      </c>
      <c r="B965" t="s">
        <v>33</v>
      </c>
      <c r="C965" t="s">
        <v>20</v>
      </c>
      <c r="D965" t="s">
        <v>15</v>
      </c>
      <c r="E965">
        <v>4</v>
      </c>
      <c r="F965">
        <v>4</v>
      </c>
      <c r="G965" t="s">
        <v>28</v>
      </c>
      <c r="H965" t="s">
        <v>32</v>
      </c>
      <c r="I965">
        <v>60000</v>
      </c>
      <c r="J965">
        <v>15900</v>
      </c>
      <c r="K965">
        <v>30</v>
      </c>
      <c r="L965" t="s">
        <v>18</v>
      </c>
      <c r="M965" t="s">
        <v>23</v>
      </c>
    </row>
    <row r="966" spans="1:13" x14ac:dyDescent="0.3">
      <c r="A966">
        <v>34</v>
      </c>
      <c r="B966" t="s">
        <v>13</v>
      </c>
      <c r="C966" t="s">
        <v>20</v>
      </c>
      <c r="D966" t="s">
        <v>25</v>
      </c>
      <c r="E966">
        <v>13</v>
      </c>
      <c r="F966">
        <v>1</v>
      </c>
      <c r="G966" t="s">
        <v>24</v>
      </c>
      <c r="H966" t="s">
        <v>55</v>
      </c>
      <c r="I966">
        <v>85000</v>
      </c>
      <c r="K966">
        <v>30</v>
      </c>
      <c r="L966" t="s">
        <v>18</v>
      </c>
      <c r="M966" t="s">
        <v>23</v>
      </c>
    </row>
    <row r="967" spans="1:13" x14ac:dyDescent="0.3">
      <c r="A967">
        <v>31</v>
      </c>
      <c r="B967" t="s">
        <v>13</v>
      </c>
      <c r="C967" t="s">
        <v>20</v>
      </c>
      <c r="D967" t="s">
        <v>15</v>
      </c>
      <c r="E967">
        <v>9</v>
      </c>
      <c r="F967">
        <v>5</v>
      </c>
      <c r="G967" t="s">
        <v>24</v>
      </c>
      <c r="H967" t="s">
        <v>55</v>
      </c>
      <c r="I967">
        <v>99000</v>
      </c>
      <c r="J967">
        <v>99000</v>
      </c>
      <c r="K967">
        <v>30</v>
      </c>
      <c r="L967" t="s">
        <v>18</v>
      </c>
      <c r="M967" t="s">
        <v>23</v>
      </c>
    </row>
    <row r="968" spans="1:13" x14ac:dyDescent="0.3">
      <c r="A968">
        <v>26</v>
      </c>
      <c r="B968" t="s">
        <v>13</v>
      </c>
      <c r="C968" t="s">
        <v>70</v>
      </c>
      <c r="D968" t="s">
        <v>154</v>
      </c>
      <c r="E968">
        <v>4</v>
      </c>
      <c r="F968">
        <v>4</v>
      </c>
      <c r="G968" t="s">
        <v>28</v>
      </c>
      <c r="H968" t="s">
        <v>55</v>
      </c>
      <c r="I968">
        <v>65000</v>
      </c>
      <c r="J968">
        <v>70000</v>
      </c>
      <c r="K968">
        <v>30</v>
      </c>
      <c r="L968" t="s">
        <v>36</v>
      </c>
      <c r="M968" t="s">
        <v>23</v>
      </c>
    </row>
    <row r="969" spans="1:13" x14ac:dyDescent="0.3">
      <c r="A969">
        <v>36</v>
      </c>
      <c r="B969" t="s">
        <v>33</v>
      </c>
      <c r="C969" t="s">
        <v>14</v>
      </c>
      <c r="D969" t="s">
        <v>25</v>
      </c>
      <c r="E969">
        <v>10</v>
      </c>
      <c r="F969">
        <v>3</v>
      </c>
      <c r="G969" t="s">
        <v>28</v>
      </c>
      <c r="H969" t="s">
        <v>55</v>
      </c>
      <c r="I969">
        <v>48000</v>
      </c>
      <c r="J969">
        <v>0</v>
      </c>
      <c r="K969">
        <v>30</v>
      </c>
      <c r="L969" t="s">
        <v>36</v>
      </c>
      <c r="M969" t="s">
        <v>23</v>
      </c>
    </row>
    <row r="970" spans="1:13" x14ac:dyDescent="0.3">
      <c r="A970">
        <v>28</v>
      </c>
      <c r="B970" t="s">
        <v>13</v>
      </c>
      <c r="C970" t="s">
        <v>20</v>
      </c>
      <c r="D970" t="s">
        <v>25</v>
      </c>
      <c r="E970">
        <v>5</v>
      </c>
      <c r="F970">
        <v>5</v>
      </c>
      <c r="G970" t="s">
        <v>28</v>
      </c>
      <c r="H970" t="s">
        <v>55</v>
      </c>
      <c r="I970">
        <v>55000</v>
      </c>
      <c r="K970">
        <v>30</v>
      </c>
      <c r="L970" t="s">
        <v>18</v>
      </c>
      <c r="M970" t="s">
        <v>23</v>
      </c>
    </row>
    <row r="971" spans="1:13" x14ac:dyDescent="0.3">
      <c r="A971">
        <v>36</v>
      </c>
      <c r="B971" t="s">
        <v>13</v>
      </c>
      <c r="C971" t="s">
        <v>20</v>
      </c>
      <c r="D971" t="s">
        <v>25</v>
      </c>
      <c r="E971">
        <v>6</v>
      </c>
      <c r="F971">
        <v>4</v>
      </c>
      <c r="G971" t="s">
        <v>28</v>
      </c>
      <c r="H971" t="s">
        <v>55</v>
      </c>
      <c r="I971">
        <v>58000</v>
      </c>
      <c r="K971">
        <v>30</v>
      </c>
      <c r="L971" t="s">
        <v>18</v>
      </c>
      <c r="M971" t="s">
        <v>23</v>
      </c>
    </row>
    <row r="972" spans="1:13" x14ac:dyDescent="0.3">
      <c r="A972">
        <v>34</v>
      </c>
      <c r="B972" t="s">
        <v>13</v>
      </c>
      <c r="C972" t="s">
        <v>14</v>
      </c>
      <c r="D972" t="s">
        <v>25</v>
      </c>
      <c r="E972">
        <v>4</v>
      </c>
      <c r="F972">
        <v>3</v>
      </c>
      <c r="G972" t="s">
        <v>28</v>
      </c>
      <c r="H972" t="s">
        <v>55</v>
      </c>
      <c r="I972">
        <v>66000</v>
      </c>
      <c r="K972">
        <v>30</v>
      </c>
      <c r="L972" t="s">
        <v>18</v>
      </c>
      <c r="M972" t="s">
        <v>23</v>
      </c>
    </row>
    <row r="973" spans="1:13" x14ac:dyDescent="0.3">
      <c r="B973" t="s">
        <v>13</v>
      </c>
      <c r="C973" t="s">
        <v>20</v>
      </c>
      <c r="D973" t="s">
        <v>52</v>
      </c>
      <c r="E973">
        <v>6</v>
      </c>
      <c r="F973">
        <v>6</v>
      </c>
      <c r="G973" t="s">
        <v>28</v>
      </c>
      <c r="H973" t="s">
        <v>55</v>
      </c>
      <c r="I973">
        <v>50000</v>
      </c>
      <c r="K973">
        <v>30</v>
      </c>
      <c r="L973" t="s">
        <v>18</v>
      </c>
      <c r="M973" t="s">
        <v>23</v>
      </c>
    </row>
    <row r="974" spans="1:13" x14ac:dyDescent="0.3">
      <c r="A974">
        <v>32</v>
      </c>
      <c r="B974" t="s">
        <v>13</v>
      </c>
      <c r="C974" t="s">
        <v>14</v>
      </c>
      <c r="D974" t="s">
        <v>25</v>
      </c>
      <c r="E974">
        <v>7</v>
      </c>
      <c r="F974">
        <v>5</v>
      </c>
      <c r="G974" t="s">
        <v>16</v>
      </c>
      <c r="H974" t="s">
        <v>55</v>
      </c>
      <c r="I974">
        <v>62000</v>
      </c>
      <c r="K974">
        <v>30</v>
      </c>
      <c r="L974" t="s">
        <v>36</v>
      </c>
      <c r="M974" t="s">
        <v>23</v>
      </c>
    </row>
    <row r="975" spans="1:13" x14ac:dyDescent="0.3">
      <c r="A975">
        <v>33</v>
      </c>
      <c r="B975" t="s">
        <v>13</v>
      </c>
      <c r="C975" t="s">
        <v>14</v>
      </c>
      <c r="D975" t="s">
        <v>25</v>
      </c>
      <c r="E975">
        <v>10</v>
      </c>
      <c r="F975">
        <v>6</v>
      </c>
      <c r="G975" t="s">
        <v>16</v>
      </c>
      <c r="H975" t="s">
        <v>55</v>
      </c>
      <c r="I975">
        <v>100000</v>
      </c>
      <c r="J975">
        <v>5000</v>
      </c>
      <c r="K975">
        <v>30</v>
      </c>
      <c r="L975" t="s">
        <v>18</v>
      </c>
      <c r="M975" t="s">
        <v>23</v>
      </c>
    </row>
    <row r="976" spans="1:13" x14ac:dyDescent="0.3">
      <c r="A976">
        <v>30</v>
      </c>
      <c r="B976" t="s">
        <v>33</v>
      </c>
      <c r="C976" t="s">
        <v>20</v>
      </c>
      <c r="D976" t="s">
        <v>25</v>
      </c>
      <c r="E976">
        <v>3</v>
      </c>
      <c r="F976">
        <v>3</v>
      </c>
      <c r="G976" t="s">
        <v>24</v>
      </c>
      <c r="H976" t="s">
        <v>55</v>
      </c>
      <c r="I976">
        <v>57600</v>
      </c>
      <c r="J976">
        <v>0</v>
      </c>
      <c r="K976">
        <v>30</v>
      </c>
      <c r="L976" t="s">
        <v>18</v>
      </c>
      <c r="M976" t="s">
        <v>23</v>
      </c>
    </row>
    <row r="977" spans="1:13" x14ac:dyDescent="0.3">
      <c r="A977">
        <v>33</v>
      </c>
      <c r="B977" t="s">
        <v>13</v>
      </c>
      <c r="C977" t="s">
        <v>14</v>
      </c>
      <c r="D977" t="s">
        <v>15</v>
      </c>
      <c r="E977">
        <v>11</v>
      </c>
      <c r="F977">
        <v>6</v>
      </c>
      <c r="G977" t="s">
        <v>16</v>
      </c>
      <c r="H977" t="s">
        <v>55</v>
      </c>
      <c r="I977">
        <v>80000</v>
      </c>
      <c r="K977">
        <v>30</v>
      </c>
      <c r="L977" t="s">
        <v>18</v>
      </c>
      <c r="M977" t="s">
        <v>23</v>
      </c>
    </row>
    <row r="978" spans="1:13" x14ac:dyDescent="0.3">
      <c r="A978">
        <v>29</v>
      </c>
      <c r="B978" t="s">
        <v>13</v>
      </c>
      <c r="C978" t="s">
        <v>20</v>
      </c>
      <c r="D978" t="s">
        <v>15</v>
      </c>
      <c r="E978">
        <v>12</v>
      </c>
      <c r="F978">
        <v>6</v>
      </c>
      <c r="G978" t="s">
        <v>24</v>
      </c>
      <c r="H978" t="s">
        <v>55</v>
      </c>
      <c r="I978">
        <v>120000</v>
      </c>
      <c r="J978">
        <v>120000</v>
      </c>
      <c r="K978">
        <v>30</v>
      </c>
      <c r="L978" t="s">
        <v>18</v>
      </c>
      <c r="M978" t="s">
        <v>23</v>
      </c>
    </row>
    <row r="979" spans="1:13" x14ac:dyDescent="0.3">
      <c r="A979">
        <v>26</v>
      </c>
      <c r="B979" t="s">
        <v>13</v>
      </c>
      <c r="C979" t="s">
        <v>14</v>
      </c>
      <c r="D979" t="s">
        <v>15</v>
      </c>
      <c r="E979">
        <v>4</v>
      </c>
      <c r="F979">
        <v>0</v>
      </c>
      <c r="G979" t="s">
        <v>28</v>
      </c>
      <c r="H979" t="s">
        <v>55</v>
      </c>
      <c r="I979">
        <v>75000</v>
      </c>
      <c r="J979">
        <v>82500</v>
      </c>
      <c r="K979">
        <v>30</v>
      </c>
      <c r="L979" t="s">
        <v>18</v>
      </c>
      <c r="M979" t="s">
        <v>23</v>
      </c>
    </row>
    <row r="980" spans="1:13" x14ac:dyDescent="0.3">
      <c r="A980">
        <v>35</v>
      </c>
      <c r="B980" t="s">
        <v>33</v>
      </c>
      <c r="C980" t="s">
        <v>220</v>
      </c>
      <c r="D980" t="s">
        <v>221</v>
      </c>
      <c r="E980">
        <v>9</v>
      </c>
      <c r="F980">
        <v>4</v>
      </c>
      <c r="G980" t="s">
        <v>28</v>
      </c>
      <c r="H980" t="s">
        <v>55</v>
      </c>
      <c r="I980">
        <v>60000</v>
      </c>
      <c r="J980">
        <v>0</v>
      </c>
      <c r="K980">
        <v>30</v>
      </c>
      <c r="L980" t="s">
        <v>18</v>
      </c>
      <c r="M980" t="s">
        <v>23</v>
      </c>
    </row>
    <row r="981" spans="1:13" x14ac:dyDescent="0.3">
      <c r="A981">
        <v>36</v>
      </c>
      <c r="B981" t="s">
        <v>13</v>
      </c>
      <c r="C981" t="s">
        <v>20</v>
      </c>
      <c r="D981" t="s">
        <v>21</v>
      </c>
      <c r="E981">
        <v>14</v>
      </c>
      <c r="F981">
        <v>12</v>
      </c>
      <c r="G981" t="s">
        <v>28</v>
      </c>
      <c r="H981" t="s">
        <v>55</v>
      </c>
      <c r="I981">
        <v>75000</v>
      </c>
      <c r="J981">
        <v>0</v>
      </c>
      <c r="K981">
        <v>30</v>
      </c>
      <c r="L981" t="s">
        <v>18</v>
      </c>
      <c r="M981" t="s">
        <v>23</v>
      </c>
    </row>
    <row r="982" spans="1:13" x14ac:dyDescent="0.3">
      <c r="A982">
        <v>31</v>
      </c>
      <c r="B982" t="s">
        <v>33</v>
      </c>
      <c r="C982" t="s">
        <v>20</v>
      </c>
      <c r="D982" t="s">
        <v>52</v>
      </c>
      <c r="E982">
        <v>11</v>
      </c>
      <c r="F982">
        <v>1.5</v>
      </c>
      <c r="G982" t="s">
        <v>28</v>
      </c>
      <c r="H982" t="s">
        <v>55</v>
      </c>
      <c r="I982">
        <v>57000</v>
      </c>
      <c r="K982">
        <v>30</v>
      </c>
      <c r="L982" t="s">
        <v>18</v>
      </c>
      <c r="M982" t="s">
        <v>23</v>
      </c>
    </row>
    <row r="983" spans="1:13" x14ac:dyDescent="0.3">
      <c r="A983">
        <v>35</v>
      </c>
      <c r="B983" t="s">
        <v>13</v>
      </c>
      <c r="C983" t="s">
        <v>20</v>
      </c>
      <c r="D983" t="s">
        <v>52</v>
      </c>
      <c r="E983">
        <v>12</v>
      </c>
      <c r="F983">
        <v>3</v>
      </c>
      <c r="G983" t="s">
        <v>16</v>
      </c>
      <c r="H983" t="s">
        <v>55</v>
      </c>
      <c r="I983">
        <v>63000</v>
      </c>
      <c r="K983">
        <v>30</v>
      </c>
      <c r="L983" t="s">
        <v>18</v>
      </c>
      <c r="M983" t="s">
        <v>23</v>
      </c>
    </row>
    <row r="984" spans="1:13" x14ac:dyDescent="0.3">
      <c r="A984">
        <v>32</v>
      </c>
      <c r="B984" t="s">
        <v>13</v>
      </c>
      <c r="C984" t="s">
        <v>84</v>
      </c>
      <c r="D984" t="s">
        <v>27</v>
      </c>
      <c r="E984">
        <v>7</v>
      </c>
      <c r="F984">
        <v>2</v>
      </c>
      <c r="G984" t="s">
        <v>28</v>
      </c>
      <c r="H984" t="s">
        <v>269</v>
      </c>
      <c r="I984">
        <v>60000</v>
      </c>
      <c r="K984">
        <v>30</v>
      </c>
      <c r="L984" t="s">
        <v>18</v>
      </c>
      <c r="M984" t="s">
        <v>23</v>
      </c>
    </row>
    <row r="985" spans="1:13" x14ac:dyDescent="0.3">
      <c r="A985">
        <v>26</v>
      </c>
      <c r="B985" t="s">
        <v>13</v>
      </c>
      <c r="C985" t="s">
        <v>20</v>
      </c>
      <c r="D985" t="s">
        <v>43</v>
      </c>
      <c r="E985">
        <v>6</v>
      </c>
      <c r="F985">
        <v>2</v>
      </c>
      <c r="G985" t="s">
        <v>16</v>
      </c>
      <c r="H985" t="s">
        <v>40</v>
      </c>
      <c r="I985">
        <v>70000</v>
      </c>
      <c r="K985">
        <v>30</v>
      </c>
      <c r="L985" t="s">
        <v>18</v>
      </c>
      <c r="M985" t="s">
        <v>23</v>
      </c>
    </row>
    <row r="986" spans="1:13" x14ac:dyDescent="0.3">
      <c r="A986">
        <v>28</v>
      </c>
      <c r="B986" t="s">
        <v>33</v>
      </c>
      <c r="C986" t="s">
        <v>14</v>
      </c>
      <c r="D986" t="s">
        <v>52</v>
      </c>
      <c r="E986">
        <v>8</v>
      </c>
      <c r="F986">
        <v>4</v>
      </c>
      <c r="G986" t="s">
        <v>16</v>
      </c>
      <c r="H986" t="s">
        <v>40</v>
      </c>
      <c r="I986">
        <v>75000</v>
      </c>
      <c r="J986">
        <v>0</v>
      </c>
      <c r="K986">
        <v>30</v>
      </c>
      <c r="L986" t="s">
        <v>18</v>
      </c>
      <c r="M986" t="s">
        <v>23</v>
      </c>
    </row>
    <row r="987" spans="1:13" x14ac:dyDescent="0.3">
      <c r="A987">
        <v>34</v>
      </c>
      <c r="B987" t="s">
        <v>33</v>
      </c>
      <c r="C987" t="s">
        <v>20</v>
      </c>
      <c r="D987" t="s">
        <v>15</v>
      </c>
      <c r="E987">
        <v>9</v>
      </c>
      <c r="F987">
        <v>3</v>
      </c>
      <c r="G987" t="s">
        <v>16</v>
      </c>
      <c r="H987" t="s">
        <v>40</v>
      </c>
      <c r="I987">
        <v>78000</v>
      </c>
      <c r="J987">
        <v>3000</v>
      </c>
      <c r="K987">
        <v>30</v>
      </c>
      <c r="L987" t="s">
        <v>18</v>
      </c>
      <c r="M987" t="s">
        <v>23</v>
      </c>
    </row>
    <row r="988" spans="1:13" x14ac:dyDescent="0.3">
      <c r="A988">
        <v>30</v>
      </c>
      <c r="B988" t="s">
        <v>13</v>
      </c>
      <c r="C988" t="s">
        <v>20</v>
      </c>
      <c r="D988" t="s">
        <v>27</v>
      </c>
      <c r="E988">
        <v>9</v>
      </c>
      <c r="F988">
        <v>5</v>
      </c>
      <c r="G988" t="s">
        <v>24</v>
      </c>
      <c r="H988" t="s">
        <v>47</v>
      </c>
      <c r="I988">
        <v>90000</v>
      </c>
      <c r="J988">
        <v>0</v>
      </c>
      <c r="K988">
        <v>30</v>
      </c>
      <c r="L988" t="s">
        <v>18</v>
      </c>
      <c r="M988" t="s">
        <v>23</v>
      </c>
    </row>
    <row r="989" spans="1:13" x14ac:dyDescent="0.3">
      <c r="A989">
        <v>33</v>
      </c>
      <c r="B989" t="s">
        <v>13</v>
      </c>
      <c r="C989" t="s">
        <v>14</v>
      </c>
      <c r="D989" t="s">
        <v>27</v>
      </c>
      <c r="E989">
        <v>15</v>
      </c>
      <c r="F989">
        <v>4</v>
      </c>
      <c r="G989" t="s">
        <v>24</v>
      </c>
      <c r="H989" t="s">
        <v>47</v>
      </c>
      <c r="I989">
        <v>90000</v>
      </c>
      <c r="J989">
        <v>10000</v>
      </c>
      <c r="K989">
        <v>30</v>
      </c>
      <c r="M989" t="s">
        <v>23</v>
      </c>
    </row>
    <row r="990" spans="1:13" x14ac:dyDescent="0.3">
      <c r="A990">
        <v>39</v>
      </c>
      <c r="B990" t="s">
        <v>13</v>
      </c>
      <c r="C990" t="s">
        <v>59</v>
      </c>
      <c r="D990" t="s">
        <v>15</v>
      </c>
      <c r="E990">
        <v>11</v>
      </c>
      <c r="F990">
        <v>3</v>
      </c>
      <c r="G990" t="s">
        <v>24</v>
      </c>
      <c r="H990" t="s">
        <v>31</v>
      </c>
      <c r="I990">
        <v>75000</v>
      </c>
      <c r="J990">
        <v>0</v>
      </c>
      <c r="K990">
        <v>30</v>
      </c>
      <c r="L990" t="s">
        <v>18</v>
      </c>
      <c r="M990" t="s">
        <v>23</v>
      </c>
    </row>
    <row r="991" spans="1:13" x14ac:dyDescent="0.3">
      <c r="A991">
        <v>33</v>
      </c>
      <c r="B991" t="s">
        <v>13</v>
      </c>
      <c r="C991" t="s">
        <v>59</v>
      </c>
      <c r="D991" t="s">
        <v>45</v>
      </c>
      <c r="E991">
        <v>12</v>
      </c>
      <c r="F991">
        <v>5</v>
      </c>
      <c r="G991" t="s">
        <v>24</v>
      </c>
      <c r="H991" t="s">
        <v>31</v>
      </c>
      <c r="I991">
        <v>70200</v>
      </c>
      <c r="K991">
        <v>30</v>
      </c>
      <c r="L991" t="s">
        <v>36</v>
      </c>
      <c r="M991" t="s">
        <v>23</v>
      </c>
    </row>
    <row r="992" spans="1:13" x14ac:dyDescent="0.3">
      <c r="A992">
        <v>35</v>
      </c>
      <c r="B992" t="s">
        <v>33</v>
      </c>
      <c r="C992" t="s">
        <v>14</v>
      </c>
      <c r="D992" t="s">
        <v>21</v>
      </c>
      <c r="E992">
        <v>4</v>
      </c>
      <c r="F992">
        <v>4</v>
      </c>
      <c r="G992" t="s">
        <v>28</v>
      </c>
      <c r="H992" t="s">
        <v>31</v>
      </c>
      <c r="I992">
        <v>51000</v>
      </c>
      <c r="J992">
        <v>4000</v>
      </c>
      <c r="K992">
        <v>30</v>
      </c>
      <c r="L992" t="s">
        <v>36</v>
      </c>
      <c r="M992" t="s">
        <v>23</v>
      </c>
    </row>
    <row r="993" spans="1:13" x14ac:dyDescent="0.3">
      <c r="A993">
        <v>28</v>
      </c>
      <c r="B993" t="s">
        <v>13</v>
      </c>
      <c r="C993" t="s">
        <v>20</v>
      </c>
      <c r="D993" t="s">
        <v>21</v>
      </c>
      <c r="E993">
        <v>7</v>
      </c>
      <c r="F993">
        <v>1</v>
      </c>
      <c r="G993" t="s">
        <v>16</v>
      </c>
      <c r="H993" t="s">
        <v>31</v>
      </c>
      <c r="I993">
        <v>70000</v>
      </c>
      <c r="K993">
        <v>30</v>
      </c>
      <c r="L993" t="s">
        <v>18</v>
      </c>
      <c r="M993" t="s">
        <v>23</v>
      </c>
    </row>
    <row r="994" spans="1:13" x14ac:dyDescent="0.3">
      <c r="A994">
        <v>37</v>
      </c>
      <c r="B994" t="s">
        <v>13</v>
      </c>
      <c r="C994" t="s">
        <v>14</v>
      </c>
      <c r="D994" t="s">
        <v>15</v>
      </c>
      <c r="E994">
        <v>15</v>
      </c>
      <c r="F994">
        <v>2</v>
      </c>
      <c r="G994" t="s">
        <v>16</v>
      </c>
      <c r="H994" t="s">
        <v>31</v>
      </c>
      <c r="I994">
        <v>75000</v>
      </c>
      <c r="K994">
        <v>30</v>
      </c>
      <c r="L994" t="s">
        <v>36</v>
      </c>
      <c r="M994" t="s">
        <v>23</v>
      </c>
    </row>
    <row r="995" spans="1:13" x14ac:dyDescent="0.3">
      <c r="A995">
        <v>28</v>
      </c>
      <c r="B995" t="s">
        <v>13</v>
      </c>
      <c r="C995" t="s">
        <v>20</v>
      </c>
      <c r="D995" t="s">
        <v>15</v>
      </c>
      <c r="E995">
        <v>8</v>
      </c>
      <c r="F995">
        <v>3</v>
      </c>
      <c r="G995" t="s">
        <v>24</v>
      </c>
      <c r="H995" t="s">
        <v>31</v>
      </c>
      <c r="I995">
        <v>80000</v>
      </c>
      <c r="K995">
        <v>30</v>
      </c>
      <c r="L995" t="s">
        <v>18</v>
      </c>
      <c r="M995" t="s">
        <v>23</v>
      </c>
    </row>
    <row r="996" spans="1:13" x14ac:dyDescent="0.3">
      <c r="A996">
        <v>36</v>
      </c>
      <c r="B996" t="s">
        <v>13</v>
      </c>
      <c r="C996" t="s">
        <v>14</v>
      </c>
      <c r="D996" t="s">
        <v>27</v>
      </c>
      <c r="E996">
        <v>14</v>
      </c>
      <c r="F996">
        <v>6</v>
      </c>
      <c r="G996" t="s">
        <v>28</v>
      </c>
      <c r="H996" t="s">
        <v>350</v>
      </c>
      <c r="I996">
        <v>65000</v>
      </c>
      <c r="J996">
        <v>5000</v>
      </c>
      <c r="K996">
        <v>30</v>
      </c>
      <c r="L996" t="s">
        <v>36</v>
      </c>
      <c r="M996" t="s">
        <v>23</v>
      </c>
    </row>
    <row r="997" spans="1:13" x14ac:dyDescent="0.3">
      <c r="A997">
        <v>30</v>
      </c>
      <c r="B997" t="s">
        <v>13</v>
      </c>
      <c r="C997" t="s">
        <v>20</v>
      </c>
      <c r="D997" t="s">
        <v>321</v>
      </c>
      <c r="E997">
        <v>7</v>
      </c>
      <c r="F997">
        <v>7</v>
      </c>
      <c r="G997" t="s">
        <v>62</v>
      </c>
      <c r="H997" t="s">
        <v>50</v>
      </c>
      <c r="I997">
        <v>100000</v>
      </c>
      <c r="K997">
        <v>30</v>
      </c>
      <c r="L997" t="s">
        <v>18</v>
      </c>
      <c r="M997" t="s">
        <v>23</v>
      </c>
    </row>
    <row r="998" spans="1:13" x14ac:dyDescent="0.3">
      <c r="A998">
        <v>30</v>
      </c>
      <c r="B998" t="s">
        <v>13</v>
      </c>
      <c r="C998" t="s">
        <v>267</v>
      </c>
      <c r="D998" t="s">
        <v>53</v>
      </c>
      <c r="E998">
        <v>6</v>
      </c>
      <c r="F998">
        <v>2</v>
      </c>
      <c r="G998" t="s">
        <v>26</v>
      </c>
      <c r="H998" t="s">
        <v>50</v>
      </c>
      <c r="I998">
        <v>51000</v>
      </c>
      <c r="J998">
        <v>4250</v>
      </c>
      <c r="K998">
        <v>30</v>
      </c>
      <c r="L998" t="s">
        <v>36</v>
      </c>
      <c r="M998" t="s">
        <v>23</v>
      </c>
    </row>
    <row r="999" spans="1:13" x14ac:dyDescent="0.3">
      <c r="A999">
        <v>26</v>
      </c>
      <c r="B999" t="s">
        <v>13</v>
      </c>
      <c r="C999" t="s">
        <v>14</v>
      </c>
      <c r="D999" t="s">
        <v>81</v>
      </c>
      <c r="E999">
        <v>1.5</v>
      </c>
      <c r="F999">
        <v>1.5</v>
      </c>
      <c r="G999" t="s">
        <v>26</v>
      </c>
      <c r="H999" t="s">
        <v>50</v>
      </c>
      <c r="I999">
        <v>58000</v>
      </c>
      <c r="K999">
        <v>30</v>
      </c>
      <c r="L999" t="s">
        <v>36</v>
      </c>
      <c r="M999" t="s">
        <v>23</v>
      </c>
    </row>
    <row r="1000" spans="1:13" x14ac:dyDescent="0.3">
      <c r="A1000">
        <v>30</v>
      </c>
      <c r="B1000" t="s">
        <v>13</v>
      </c>
      <c r="C1000" t="s">
        <v>70</v>
      </c>
      <c r="D1000" t="s">
        <v>332</v>
      </c>
      <c r="E1000">
        <v>3</v>
      </c>
      <c r="F1000">
        <v>3</v>
      </c>
      <c r="G1000" t="s">
        <v>28</v>
      </c>
      <c r="H1000" t="s">
        <v>50</v>
      </c>
      <c r="I1000">
        <v>65000</v>
      </c>
      <c r="J1000">
        <v>3000</v>
      </c>
      <c r="K1000">
        <v>30</v>
      </c>
      <c r="L1000" t="s">
        <v>18</v>
      </c>
      <c r="M1000" t="s">
        <v>23</v>
      </c>
    </row>
    <row r="1001" spans="1:13" x14ac:dyDescent="0.3">
      <c r="A1001">
        <v>31</v>
      </c>
      <c r="B1001" t="s">
        <v>13</v>
      </c>
      <c r="C1001" t="s">
        <v>20</v>
      </c>
      <c r="D1001" t="s">
        <v>35</v>
      </c>
      <c r="E1001">
        <v>4</v>
      </c>
      <c r="F1001">
        <v>2</v>
      </c>
      <c r="G1001" t="s">
        <v>28</v>
      </c>
      <c r="H1001" t="s">
        <v>50</v>
      </c>
      <c r="I1001">
        <v>50000</v>
      </c>
      <c r="J1001">
        <v>0</v>
      </c>
      <c r="K1001">
        <v>30</v>
      </c>
      <c r="L1001" t="s">
        <v>18</v>
      </c>
      <c r="M1001" t="s">
        <v>23</v>
      </c>
    </row>
    <row r="1002" spans="1:13" x14ac:dyDescent="0.3">
      <c r="A1002">
        <v>37</v>
      </c>
      <c r="B1002" t="s">
        <v>33</v>
      </c>
      <c r="C1002" t="s">
        <v>20</v>
      </c>
      <c r="D1002" t="s">
        <v>53</v>
      </c>
      <c r="E1002">
        <v>2</v>
      </c>
      <c r="F1002">
        <v>2</v>
      </c>
      <c r="G1002" t="s">
        <v>28</v>
      </c>
      <c r="H1002" t="s">
        <v>50</v>
      </c>
      <c r="I1002">
        <v>62000</v>
      </c>
      <c r="J1002">
        <v>0</v>
      </c>
      <c r="K1002">
        <v>30</v>
      </c>
      <c r="L1002" t="s">
        <v>36</v>
      </c>
      <c r="M1002" t="s">
        <v>23</v>
      </c>
    </row>
    <row r="1003" spans="1:13" x14ac:dyDescent="0.3">
      <c r="A1003">
        <v>30</v>
      </c>
      <c r="B1003" t="s">
        <v>13</v>
      </c>
      <c r="C1003" t="s">
        <v>34</v>
      </c>
      <c r="D1003" t="s">
        <v>53</v>
      </c>
      <c r="E1003">
        <v>5</v>
      </c>
      <c r="F1003">
        <v>5</v>
      </c>
      <c r="G1003" t="s">
        <v>28</v>
      </c>
      <c r="H1003" t="s">
        <v>50</v>
      </c>
      <c r="I1003">
        <v>55000</v>
      </c>
      <c r="J1003">
        <v>60000</v>
      </c>
      <c r="K1003">
        <v>30</v>
      </c>
      <c r="L1003" t="s">
        <v>18</v>
      </c>
      <c r="M1003" t="s">
        <v>23</v>
      </c>
    </row>
    <row r="1004" spans="1:13" x14ac:dyDescent="0.3">
      <c r="A1004">
        <v>36</v>
      </c>
      <c r="B1004" t="s">
        <v>13</v>
      </c>
      <c r="C1004" t="s">
        <v>20</v>
      </c>
      <c r="D1004" t="s">
        <v>53</v>
      </c>
      <c r="E1004">
        <v>5</v>
      </c>
      <c r="F1004">
        <v>5</v>
      </c>
      <c r="G1004" t="s">
        <v>28</v>
      </c>
      <c r="H1004" t="s">
        <v>50</v>
      </c>
      <c r="I1004">
        <v>50000</v>
      </c>
      <c r="J1004">
        <v>15000</v>
      </c>
      <c r="K1004">
        <v>30</v>
      </c>
      <c r="L1004" t="s">
        <v>18</v>
      </c>
      <c r="M1004" t="s">
        <v>23</v>
      </c>
    </row>
    <row r="1005" spans="1:13" x14ac:dyDescent="0.3">
      <c r="A1005">
        <v>26</v>
      </c>
      <c r="B1005" t="s">
        <v>13</v>
      </c>
      <c r="C1005" t="s">
        <v>14</v>
      </c>
      <c r="D1005" t="s">
        <v>53</v>
      </c>
      <c r="E1005">
        <v>3</v>
      </c>
      <c r="F1005">
        <v>2</v>
      </c>
      <c r="G1005" t="s">
        <v>28</v>
      </c>
      <c r="H1005" t="s">
        <v>50</v>
      </c>
      <c r="I1005">
        <v>65000</v>
      </c>
      <c r="J1005">
        <v>7000</v>
      </c>
      <c r="K1005">
        <v>30</v>
      </c>
      <c r="L1005" t="s">
        <v>18</v>
      </c>
      <c r="M1005" t="s">
        <v>23</v>
      </c>
    </row>
    <row r="1006" spans="1:13" x14ac:dyDescent="0.3">
      <c r="A1006">
        <v>34</v>
      </c>
      <c r="B1006" t="s">
        <v>13</v>
      </c>
      <c r="C1006" t="s">
        <v>20</v>
      </c>
      <c r="D1006" t="s">
        <v>53</v>
      </c>
      <c r="E1006">
        <v>5</v>
      </c>
      <c r="F1006">
        <v>5</v>
      </c>
      <c r="G1006" t="s">
        <v>28</v>
      </c>
      <c r="H1006" t="s">
        <v>50</v>
      </c>
      <c r="I1006">
        <v>65000</v>
      </c>
      <c r="J1006">
        <v>5000</v>
      </c>
      <c r="K1006">
        <v>30</v>
      </c>
      <c r="L1006" t="s">
        <v>18</v>
      </c>
      <c r="M1006" t="s">
        <v>23</v>
      </c>
    </row>
    <row r="1007" spans="1:13" x14ac:dyDescent="0.3">
      <c r="A1007">
        <v>29</v>
      </c>
      <c r="B1007" t="s">
        <v>13</v>
      </c>
      <c r="C1007" t="s">
        <v>384</v>
      </c>
      <c r="D1007" t="s">
        <v>53</v>
      </c>
      <c r="E1007">
        <v>5</v>
      </c>
      <c r="F1007">
        <v>2</v>
      </c>
      <c r="G1007" t="s">
        <v>28</v>
      </c>
      <c r="H1007" t="s">
        <v>50</v>
      </c>
      <c r="I1007">
        <v>65000</v>
      </c>
      <c r="K1007">
        <v>30</v>
      </c>
      <c r="L1007" t="s">
        <v>18</v>
      </c>
      <c r="M1007" t="s">
        <v>23</v>
      </c>
    </row>
    <row r="1008" spans="1:13" x14ac:dyDescent="0.3">
      <c r="A1008">
        <v>29</v>
      </c>
      <c r="B1008" t="s">
        <v>13</v>
      </c>
      <c r="C1008" t="s">
        <v>384</v>
      </c>
      <c r="D1008" t="s">
        <v>53</v>
      </c>
      <c r="E1008">
        <v>5</v>
      </c>
      <c r="F1008">
        <v>2</v>
      </c>
      <c r="G1008" t="s">
        <v>28</v>
      </c>
      <c r="H1008" t="s">
        <v>50</v>
      </c>
      <c r="I1008">
        <v>65000</v>
      </c>
      <c r="K1008">
        <v>30</v>
      </c>
      <c r="L1008" t="s">
        <v>18</v>
      </c>
      <c r="M1008" t="s">
        <v>23</v>
      </c>
    </row>
    <row r="1009" spans="1:13" x14ac:dyDescent="0.3">
      <c r="A1009">
        <v>32</v>
      </c>
      <c r="B1009" t="s">
        <v>13</v>
      </c>
      <c r="C1009" t="s">
        <v>20</v>
      </c>
      <c r="D1009" t="s">
        <v>27</v>
      </c>
      <c r="E1009">
        <v>10</v>
      </c>
      <c r="F1009">
        <v>1</v>
      </c>
      <c r="G1009" t="s">
        <v>28</v>
      </c>
      <c r="H1009" t="s">
        <v>50</v>
      </c>
      <c r="I1009">
        <v>62000</v>
      </c>
      <c r="J1009">
        <v>0</v>
      </c>
      <c r="K1009">
        <v>30</v>
      </c>
      <c r="L1009" t="s">
        <v>18</v>
      </c>
      <c r="M1009" t="s">
        <v>23</v>
      </c>
    </row>
    <row r="1010" spans="1:13" x14ac:dyDescent="0.3">
      <c r="A1010">
        <v>26</v>
      </c>
      <c r="B1010" t="s">
        <v>13</v>
      </c>
      <c r="C1010" t="s">
        <v>309</v>
      </c>
      <c r="D1010" t="s">
        <v>81</v>
      </c>
      <c r="E1010">
        <v>3</v>
      </c>
      <c r="G1010" t="s">
        <v>28</v>
      </c>
      <c r="H1010" t="s">
        <v>50</v>
      </c>
      <c r="I1010">
        <v>48000</v>
      </c>
      <c r="J1010">
        <v>0</v>
      </c>
      <c r="K1010">
        <v>30</v>
      </c>
      <c r="L1010" t="s">
        <v>18</v>
      </c>
      <c r="M1010" t="s">
        <v>23</v>
      </c>
    </row>
    <row r="1011" spans="1:13" x14ac:dyDescent="0.3">
      <c r="A1011">
        <v>23</v>
      </c>
      <c r="B1011" t="s">
        <v>13</v>
      </c>
      <c r="C1011" t="s">
        <v>20</v>
      </c>
      <c r="D1011" t="s">
        <v>15</v>
      </c>
      <c r="E1011">
        <v>5</v>
      </c>
      <c r="F1011">
        <v>0</v>
      </c>
      <c r="G1011" t="s">
        <v>28</v>
      </c>
      <c r="H1011" t="s">
        <v>50</v>
      </c>
      <c r="I1011">
        <v>53000</v>
      </c>
      <c r="J1011">
        <v>0</v>
      </c>
      <c r="K1011">
        <v>30</v>
      </c>
      <c r="L1011" t="s">
        <v>18</v>
      </c>
      <c r="M1011" t="s">
        <v>23</v>
      </c>
    </row>
    <row r="1012" spans="1:13" x14ac:dyDescent="0.3">
      <c r="A1012">
        <v>33</v>
      </c>
      <c r="B1012" t="s">
        <v>13</v>
      </c>
      <c r="C1012" t="s">
        <v>20</v>
      </c>
      <c r="D1012" t="s">
        <v>15</v>
      </c>
      <c r="E1012">
        <v>5</v>
      </c>
      <c r="F1012">
        <v>1</v>
      </c>
      <c r="G1012" t="s">
        <v>28</v>
      </c>
      <c r="H1012" t="s">
        <v>50</v>
      </c>
      <c r="I1012">
        <v>65000</v>
      </c>
      <c r="K1012">
        <v>30</v>
      </c>
      <c r="L1012" t="s">
        <v>18</v>
      </c>
      <c r="M1012" t="s">
        <v>23</v>
      </c>
    </row>
    <row r="1013" spans="1:13" x14ac:dyDescent="0.3">
      <c r="A1013">
        <v>38</v>
      </c>
      <c r="B1013" t="s">
        <v>13</v>
      </c>
      <c r="C1013" t="s">
        <v>20</v>
      </c>
      <c r="D1013" t="s">
        <v>53</v>
      </c>
      <c r="E1013">
        <v>10</v>
      </c>
      <c r="F1013">
        <v>9</v>
      </c>
      <c r="G1013" t="s">
        <v>16</v>
      </c>
      <c r="H1013" t="s">
        <v>50</v>
      </c>
      <c r="I1013">
        <v>87550</v>
      </c>
      <c r="J1013">
        <v>0</v>
      </c>
      <c r="K1013">
        <v>30</v>
      </c>
      <c r="L1013" t="s">
        <v>36</v>
      </c>
      <c r="M1013" t="s">
        <v>23</v>
      </c>
    </row>
    <row r="1014" spans="1:13" x14ac:dyDescent="0.3">
      <c r="A1014">
        <v>37</v>
      </c>
      <c r="B1014" t="s">
        <v>13</v>
      </c>
      <c r="C1014" t="s">
        <v>20</v>
      </c>
      <c r="D1014" t="s">
        <v>53</v>
      </c>
      <c r="E1014">
        <v>10</v>
      </c>
      <c r="F1014">
        <v>10</v>
      </c>
      <c r="G1014" t="s">
        <v>16</v>
      </c>
      <c r="H1014" t="s">
        <v>50</v>
      </c>
      <c r="I1014">
        <v>82000</v>
      </c>
      <c r="J1014">
        <v>0</v>
      </c>
      <c r="K1014">
        <v>30</v>
      </c>
      <c r="L1014" t="s">
        <v>18</v>
      </c>
      <c r="M1014" t="s">
        <v>23</v>
      </c>
    </row>
    <row r="1015" spans="1:13" x14ac:dyDescent="0.3">
      <c r="A1015">
        <v>36</v>
      </c>
      <c r="B1015" t="s">
        <v>13</v>
      </c>
      <c r="C1015" t="s">
        <v>377</v>
      </c>
      <c r="D1015" t="s">
        <v>81</v>
      </c>
      <c r="E1015">
        <v>6</v>
      </c>
      <c r="F1015">
        <v>6</v>
      </c>
      <c r="G1015" t="s">
        <v>16</v>
      </c>
      <c r="H1015" t="s">
        <v>50</v>
      </c>
      <c r="I1015">
        <v>110000</v>
      </c>
      <c r="J1015">
        <v>25000</v>
      </c>
      <c r="K1015">
        <v>30</v>
      </c>
      <c r="L1015" t="s">
        <v>18</v>
      </c>
      <c r="M1015" t="s">
        <v>23</v>
      </c>
    </row>
    <row r="1016" spans="1:13" x14ac:dyDescent="0.3">
      <c r="A1016">
        <v>34</v>
      </c>
      <c r="B1016" t="s">
        <v>13</v>
      </c>
      <c r="C1016" t="s">
        <v>20</v>
      </c>
      <c r="D1016" t="s">
        <v>81</v>
      </c>
      <c r="E1016">
        <v>3</v>
      </c>
      <c r="F1016">
        <v>3</v>
      </c>
      <c r="G1016" t="s">
        <v>16</v>
      </c>
      <c r="H1016" t="s">
        <v>50</v>
      </c>
      <c r="I1016">
        <v>70000</v>
      </c>
      <c r="K1016">
        <v>30</v>
      </c>
      <c r="L1016" t="s">
        <v>18</v>
      </c>
      <c r="M1016" t="s">
        <v>23</v>
      </c>
    </row>
    <row r="1017" spans="1:13" x14ac:dyDescent="0.3">
      <c r="C1017" t="s">
        <v>70</v>
      </c>
      <c r="D1017" t="s">
        <v>15</v>
      </c>
      <c r="E1017">
        <v>10</v>
      </c>
      <c r="F1017">
        <v>10</v>
      </c>
      <c r="G1017" t="s">
        <v>16</v>
      </c>
      <c r="H1017" t="s">
        <v>50</v>
      </c>
      <c r="I1017">
        <v>65000</v>
      </c>
      <c r="J1017">
        <v>5000</v>
      </c>
      <c r="K1017">
        <v>30</v>
      </c>
      <c r="L1017" t="s">
        <v>36</v>
      </c>
      <c r="M1017" t="s">
        <v>23</v>
      </c>
    </row>
    <row r="1018" spans="1:13" x14ac:dyDescent="0.3">
      <c r="A1018">
        <v>31</v>
      </c>
      <c r="B1018" t="s">
        <v>13</v>
      </c>
      <c r="C1018" t="s">
        <v>20</v>
      </c>
      <c r="D1018" t="s">
        <v>15</v>
      </c>
      <c r="E1018">
        <v>4</v>
      </c>
      <c r="F1018">
        <v>4</v>
      </c>
      <c r="G1018" t="s">
        <v>16</v>
      </c>
      <c r="H1018" t="s">
        <v>50</v>
      </c>
      <c r="I1018">
        <v>68000</v>
      </c>
      <c r="J1018">
        <v>0</v>
      </c>
      <c r="K1018">
        <v>30</v>
      </c>
      <c r="L1018" t="s">
        <v>18</v>
      </c>
      <c r="M1018" t="s">
        <v>23</v>
      </c>
    </row>
    <row r="1019" spans="1:13" x14ac:dyDescent="0.3">
      <c r="A1019">
        <v>33</v>
      </c>
      <c r="B1019" t="s">
        <v>13</v>
      </c>
      <c r="C1019" t="s">
        <v>172</v>
      </c>
      <c r="D1019" t="s">
        <v>15</v>
      </c>
      <c r="E1019">
        <v>11</v>
      </c>
      <c r="F1019">
        <v>5</v>
      </c>
      <c r="G1019" t="s">
        <v>16</v>
      </c>
      <c r="H1019" t="s">
        <v>50</v>
      </c>
      <c r="I1019">
        <v>80000</v>
      </c>
      <c r="J1019">
        <v>0</v>
      </c>
      <c r="K1019">
        <v>30</v>
      </c>
      <c r="L1019" t="s">
        <v>18</v>
      </c>
      <c r="M1019" t="s">
        <v>23</v>
      </c>
    </row>
    <row r="1020" spans="1:13" x14ac:dyDescent="0.3">
      <c r="A1020">
        <v>29</v>
      </c>
      <c r="B1020" t="s">
        <v>13</v>
      </c>
      <c r="C1020" t="s">
        <v>20</v>
      </c>
      <c r="D1020" t="s">
        <v>15</v>
      </c>
      <c r="E1020">
        <v>7</v>
      </c>
      <c r="F1020">
        <v>5</v>
      </c>
      <c r="G1020" t="s">
        <v>16</v>
      </c>
      <c r="H1020" t="s">
        <v>50</v>
      </c>
      <c r="I1020">
        <v>64000</v>
      </c>
      <c r="K1020">
        <v>30</v>
      </c>
      <c r="L1020" t="s">
        <v>18</v>
      </c>
      <c r="M1020" t="s">
        <v>23</v>
      </c>
    </row>
    <row r="1021" spans="1:13" x14ac:dyDescent="0.3">
      <c r="A1021">
        <v>30</v>
      </c>
      <c r="B1021" t="s">
        <v>33</v>
      </c>
      <c r="C1021" t="s">
        <v>20</v>
      </c>
      <c r="D1021" t="s">
        <v>52</v>
      </c>
      <c r="E1021">
        <v>5</v>
      </c>
      <c r="F1021">
        <v>3</v>
      </c>
      <c r="G1021" t="s">
        <v>28</v>
      </c>
      <c r="H1021" t="s">
        <v>50</v>
      </c>
      <c r="I1021">
        <v>50000</v>
      </c>
      <c r="J1021">
        <v>4000</v>
      </c>
      <c r="K1021">
        <v>30</v>
      </c>
      <c r="L1021" t="s">
        <v>36</v>
      </c>
      <c r="M1021" t="s">
        <v>23</v>
      </c>
    </row>
    <row r="1022" spans="1:13" x14ac:dyDescent="0.3">
      <c r="A1022">
        <v>32</v>
      </c>
      <c r="B1022" t="s">
        <v>13</v>
      </c>
      <c r="C1022" t="s">
        <v>20</v>
      </c>
      <c r="D1022" t="s">
        <v>35</v>
      </c>
      <c r="E1022">
        <v>7</v>
      </c>
      <c r="F1022">
        <v>5</v>
      </c>
      <c r="G1022" t="s">
        <v>16</v>
      </c>
      <c r="H1022" t="s">
        <v>50</v>
      </c>
      <c r="I1022">
        <v>82000</v>
      </c>
      <c r="J1022">
        <v>82000</v>
      </c>
      <c r="K1022">
        <v>30</v>
      </c>
      <c r="L1022" t="s">
        <v>18</v>
      </c>
      <c r="M1022" t="s">
        <v>23</v>
      </c>
    </row>
    <row r="1023" spans="1:13" x14ac:dyDescent="0.3">
      <c r="A1023">
        <v>28</v>
      </c>
      <c r="B1023" t="s">
        <v>13</v>
      </c>
      <c r="C1023" t="s">
        <v>20</v>
      </c>
      <c r="D1023" t="s">
        <v>52</v>
      </c>
      <c r="E1023">
        <v>5</v>
      </c>
      <c r="F1023">
        <v>1</v>
      </c>
      <c r="G1023" t="s">
        <v>28</v>
      </c>
      <c r="H1023" t="s">
        <v>162</v>
      </c>
      <c r="I1023">
        <v>60000</v>
      </c>
      <c r="J1023">
        <v>0</v>
      </c>
      <c r="K1023">
        <v>30</v>
      </c>
      <c r="L1023" t="s">
        <v>18</v>
      </c>
      <c r="M1023" t="s">
        <v>23</v>
      </c>
    </row>
    <row r="1024" spans="1:13" x14ac:dyDescent="0.3">
      <c r="A1024">
        <v>37</v>
      </c>
      <c r="B1024" t="s">
        <v>13</v>
      </c>
      <c r="C1024" t="s">
        <v>220</v>
      </c>
      <c r="D1024" t="s">
        <v>15</v>
      </c>
      <c r="E1024">
        <v>9</v>
      </c>
      <c r="F1024">
        <v>5</v>
      </c>
      <c r="G1024" t="s">
        <v>16</v>
      </c>
      <c r="H1024" t="s">
        <v>222</v>
      </c>
      <c r="I1024">
        <v>60000</v>
      </c>
      <c r="J1024">
        <v>0</v>
      </c>
      <c r="K1024">
        <v>30</v>
      </c>
      <c r="L1024" t="s">
        <v>18</v>
      </c>
      <c r="M1024" t="s">
        <v>23</v>
      </c>
    </row>
    <row r="1025" spans="1:13" x14ac:dyDescent="0.3">
      <c r="A1025">
        <v>35</v>
      </c>
      <c r="B1025" t="s">
        <v>33</v>
      </c>
      <c r="C1025" t="s">
        <v>20</v>
      </c>
      <c r="D1025" t="s">
        <v>25</v>
      </c>
      <c r="E1025">
        <v>2</v>
      </c>
      <c r="F1025">
        <v>2</v>
      </c>
      <c r="G1025" t="s">
        <v>26</v>
      </c>
      <c r="H1025" t="s">
        <v>56</v>
      </c>
      <c r="I1025">
        <v>40000</v>
      </c>
      <c r="K1025">
        <v>30</v>
      </c>
      <c r="L1025" t="s">
        <v>18</v>
      </c>
      <c r="M1025" t="s">
        <v>23</v>
      </c>
    </row>
    <row r="1026" spans="1:13" x14ac:dyDescent="0.3">
      <c r="A1026">
        <v>30</v>
      </c>
      <c r="B1026" t="s">
        <v>13</v>
      </c>
      <c r="C1026" t="s">
        <v>20</v>
      </c>
      <c r="D1026" t="s">
        <v>21</v>
      </c>
      <c r="E1026">
        <v>6</v>
      </c>
      <c r="F1026">
        <v>2</v>
      </c>
      <c r="G1026" t="s">
        <v>16</v>
      </c>
      <c r="H1026" t="s">
        <v>22</v>
      </c>
      <c r="I1026">
        <v>75000</v>
      </c>
      <c r="J1026">
        <v>75000</v>
      </c>
      <c r="K1026">
        <v>30</v>
      </c>
      <c r="L1026" t="s">
        <v>18</v>
      </c>
      <c r="M1026" t="s">
        <v>23</v>
      </c>
    </row>
    <row r="1027" spans="1:13" x14ac:dyDescent="0.3">
      <c r="A1027">
        <v>29</v>
      </c>
      <c r="B1027" t="s">
        <v>13</v>
      </c>
      <c r="C1027" t="s">
        <v>20</v>
      </c>
      <c r="D1027" t="s">
        <v>21</v>
      </c>
      <c r="E1027">
        <v>10</v>
      </c>
      <c r="F1027">
        <v>1</v>
      </c>
      <c r="G1027" t="s">
        <v>16</v>
      </c>
      <c r="H1027" t="s">
        <v>22</v>
      </c>
      <c r="I1027">
        <v>80000</v>
      </c>
      <c r="J1027">
        <v>0</v>
      </c>
      <c r="K1027">
        <v>30</v>
      </c>
      <c r="L1027" t="s">
        <v>18</v>
      </c>
      <c r="M1027" t="s">
        <v>23</v>
      </c>
    </row>
    <row r="1028" spans="1:13" x14ac:dyDescent="0.3">
      <c r="A1028">
        <v>32</v>
      </c>
      <c r="B1028" t="s">
        <v>13</v>
      </c>
      <c r="C1028" t="s">
        <v>20</v>
      </c>
      <c r="D1028" t="s">
        <v>21</v>
      </c>
      <c r="F1028">
        <v>3</v>
      </c>
      <c r="G1028" t="s">
        <v>16</v>
      </c>
      <c r="H1028" t="s">
        <v>22</v>
      </c>
      <c r="I1028">
        <v>72000</v>
      </c>
      <c r="K1028">
        <v>30</v>
      </c>
      <c r="L1028" t="s">
        <v>18</v>
      </c>
      <c r="M1028" t="s">
        <v>23</v>
      </c>
    </row>
    <row r="1029" spans="1:13" x14ac:dyDescent="0.3">
      <c r="A1029">
        <v>35</v>
      </c>
      <c r="B1029" t="s">
        <v>13</v>
      </c>
      <c r="C1029" t="s">
        <v>20</v>
      </c>
      <c r="D1029" t="s">
        <v>21</v>
      </c>
      <c r="E1029">
        <v>10</v>
      </c>
      <c r="F1029">
        <v>7</v>
      </c>
      <c r="G1029" t="s">
        <v>16</v>
      </c>
      <c r="H1029" t="s">
        <v>22</v>
      </c>
      <c r="I1029">
        <v>75000</v>
      </c>
      <c r="K1029">
        <v>30</v>
      </c>
      <c r="L1029" t="s">
        <v>18</v>
      </c>
      <c r="M1029" t="s">
        <v>23</v>
      </c>
    </row>
    <row r="1030" spans="1:13" x14ac:dyDescent="0.3">
      <c r="A1030">
        <v>33</v>
      </c>
      <c r="B1030" t="s">
        <v>13</v>
      </c>
      <c r="C1030" t="s">
        <v>34</v>
      </c>
      <c r="D1030" t="s">
        <v>15</v>
      </c>
      <c r="E1030">
        <v>10</v>
      </c>
      <c r="F1030">
        <v>3</v>
      </c>
      <c r="G1030" t="s">
        <v>16</v>
      </c>
      <c r="H1030" t="s">
        <v>22</v>
      </c>
      <c r="I1030">
        <v>75000</v>
      </c>
      <c r="K1030">
        <v>30</v>
      </c>
      <c r="L1030" t="s">
        <v>18</v>
      </c>
      <c r="M1030" t="s">
        <v>23</v>
      </c>
    </row>
    <row r="1031" spans="1:13" x14ac:dyDescent="0.3">
      <c r="A1031">
        <v>44</v>
      </c>
      <c r="B1031" t="s">
        <v>13</v>
      </c>
      <c r="C1031" t="s">
        <v>70</v>
      </c>
      <c r="D1031" t="s">
        <v>15</v>
      </c>
      <c r="E1031">
        <v>10</v>
      </c>
      <c r="F1031">
        <v>10</v>
      </c>
      <c r="G1031" t="s">
        <v>16</v>
      </c>
      <c r="H1031" t="s">
        <v>398</v>
      </c>
      <c r="I1031">
        <v>75000</v>
      </c>
      <c r="J1031">
        <v>80000</v>
      </c>
      <c r="K1031">
        <v>30</v>
      </c>
      <c r="L1031" t="s">
        <v>164</v>
      </c>
      <c r="M1031" t="s">
        <v>23</v>
      </c>
    </row>
    <row r="1032" spans="1:13" x14ac:dyDescent="0.3">
      <c r="A1032">
        <v>36</v>
      </c>
      <c r="B1032" t="s">
        <v>13</v>
      </c>
      <c r="C1032" t="s">
        <v>20</v>
      </c>
      <c r="D1032" t="s">
        <v>21</v>
      </c>
      <c r="E1032">
        <v>16</v>
      </c>
      <c r="F1032">
        <v>8</v>
      </c>
      <c r="G1032" t="s">
        <v>24</v>
      </c>
      <c r="H1032" t="s">
        <v>71</v>
      </c>
      <c r="I1032">
        <v>120000</v>
      </c>
      <c r="J1032">
        <v>120000</v>
      </c>
      <c r="K1032">
        <v>30</v>
      </c>
      <c r="L1032" t="s">
        <v>18</v>
      </c>
      <c r="M1032" t="s">
        <v>23</v>
      </c>
    </row>
    <row r="1033" spans="1:13" x14ac:dyDescent="0.3">
      <c r="A1033">
        <v>28</v>
      </c>
      <c r="B1033" t="s">
        <v>13</v>
      </c>
      <c r="C1033" t="s">
        <v>20</v>
      </c>
      <c r="D1033" t="s">
        <v>35</v>
      </c>
      <c r="E1033">
        <v>5</v>
      </c>
      <c r="F1033">
        <v>1</v>
      </c>
      <c r="G1033" t="s">
        <v>28</v>
      </c>
      <c r="H1033" t="s">
        <v>71</v>
      </c>
      <c r="I1033">
        <v>65000</v>
      </c>
      <c r="J1033">
        <v>0</v>
      </c>
      <c r="K1033">
        <v>30</v>
      </c>
      <c r="L1033" t="s">
        <v>18</v>
      </c>
      <c r="M1033" t="s">
        <v>23</v>
      </c>
    </row>
    <row r="1034" spans="1:13" x14ac:dyDescent="0.3">
      <c r="A1034">
        <v>28</v>
      </c>
      <c r="B1034" t="s">
        <v>13</v>
      </c>
      <c r="C1034" t="s">
        <v>34</v>
      </c>
      <c r="D1034" t="s">
        <v>15</v>
      </c>
      <c r="E1034">
        <v>7</v>
      </c>
      <c r="G1034" t="s">
        <v>16</v>
      </c>
      <c r="H1034" t="s">
        <v>71</v>
      </c>
      <c r="I1034">
        <v>80000</v>
      </c>
      <c r="J1034">
        <v>5000</v>
      </c>
      <c r="K1034">
        <v>30</v>
      </c>
      <c r="L1034" t="s">
        <v>18</v>
      </c>
      <c r="M1034" t="s">
        <v>23</v>
      </c>
    </row>
    <row r="1035" spans="1:13" x14ac:dyDescent="0.3">
      <c r="A1035">
        <v>40</v>
      </c>
      <c r="B1035" t="s">
        <v>13</v>
      </c>
      <c r="C1035" t="s">
        <v>20</v>
      </c>
      <c r="D1035" t="s">
        <v>21</v>
      </c>
      <c r="E1035">
        <v>14</v>
      </c>
      <c r="F1035">
        <v>8</v>
      </c>
      <c r="G1035" t="s">
        <v>24</v>
      </c>
      <c r="H1035" t="s">
        <v>290</v>
      </c>
      <c r="I1035">
        <v>135000</v>
      </c>
      <c r="J1035">
        <v>0</v>
      </c>
      <c r="K1035">
        <v>30</v>
      </c>
      <c r="L1035" t="s">
        <v>18</v>
      </c>
      <c r="M1035" t="s">
        <v>23</v>
      </c>
    </row>
    <row r="1036" spans="1:13" x14ac:dyDescent="0.3">
      <c r="A1036">
        <v>40</v>
      </c>
      <c r="B1036" t="s">
        <v>13</v>
      </c>
      <c r="C1036" t="s">
        <v>14</v>
      </c>
      <c r="D1036" t="s">
        <v>35</v>
      </c>
      <c r="E1036">
        <v>15</v>
      </c>
      <c r="F1036">
        <v>7</v>
      </c>
      <c r="G1036" t="s">
        <v>24</v>
      </c>
      <c r="H1036" t="s">
        <v>42</v>
      </c>
      <c r="I1036">
        <v>90000</v>
      </c>
      <c r="J1036">
        <v>10000</v>
      </c>
      <c r="K1036">
        <v>30</v>
      </c>
      <c r="L1036" t="s">
        <v>18</v>
      </c>
      <c r="M1036" t="s">
        <v>23</v>
      </c>
    </row>
    <row r="1037" spans="1:13" x14ac:dyDescent="0.3">
      <c r="A1037">
        <v>28</v>
      </c>
      <c r="B1037" t="s">
        <v>33</v>
      </c>
      <c r="C1037" t="s">
        <v>20</v>
      </c>
      <c r="D1037" t="s">
        <v>231</v>
      </c>
      <c r="E1037">
        <v>3</v>
      </c>
      <c r="F1037">
        <v>2.5</v>
      </c>
      <c r="G1037" t="s">
        <v>28</v>
      </c>
      <c r="H1037" t="s">
        <v>42</v>
      </c>
      <c r="I1037">
        <v>53000</v>
      </c>
      <c r="J1037">
        <v>0</v>
      </c>
      <c r="K1037">
        <v>30</v>
      </c>
      <c r="L1037" t="s">
        <v>18</v>
      </c>
      <c r="M1037" t="s">
        <v>23</v>
      </c>
    </row>
    <row r="1038" spans="1:13" x14ac:dyDescent="0.3">
      <c r="A1038">
        <v>33</v>
      </c>
      <c r="B1038" t="s">
        <v>13</v>
      </c>
      <c r="C1038" t="s">
        <v>20</v>
      </c>
      <c r="D1038" t="s">
        <v>231</v>
      </c>
      <c r="E1038">
        <v>2</v>
      </c>
      <c r="F1038">
        <v>2</v>
      </c>
      <c r="G1038" t="s">
        <v>28</v>
      </c>
      <c r="H1038" t="s">
        <v>42</v>
      </c>
      <c r="I1038">
        <v>62000</v>
      </c>
      <c r="K1038">
        <v>30</v>
      </c>
      <c r="L1038" t="s">
        <v>18</v>
      </c>
      <c r="M1038" t="s">
        <v>23</v>
      </c>
    </row>
    <row r="1039" spans="1:13" x14ac:dyDescent="0.3">
      <c r="B1039" t="s">
        <v>13</v>
      </c>
      <c r="C1039" t="s">
        <v>20</v>
      </c>
      <c r="D1039" t="s">
        <v>35</v>
      </c>
      <c r="E1039">
        <v>7.5</v>
      </c>
      <c r="F1039">
        <v>1.5</v>
      </c>
      <c r="G1039" t="s">
        <v>28</v>
      </c>
      <c r="H1039" t="s">
        <v>42</v>
      </c>
      <c r="I1039">
        <v>68000</v>
      </c>
      <c r="J1039">
        <v>500</v>
      </c>
      <c r="K1039">
        <v>30</v>
      </c>
      <c r="L1039" t="s">
        <v>18</v>
      </c>
      <c r="M1039" t="s">
        <v>23</v>
      </c>
    </row>
    <row r="1040" spans="1:13" x14ac:dyDescent="0.3">
      <c r="A1040">
        <v>34</v>
      </c>
      <c r="B1040" t="s">
        <v>13</v>
      </c>
      <c r="C1040" t="s">
        <v>20</v>
      </c>
      <c r="D1040" t="s">
        <v>317</v>
      </c>
      <c r="E1040">
        <v>10</v>
      </c>
      <c r="F1040">
        <v>5</v>
      </c>
      <c r="G1040" t="s">
        <v>16</v>
      </c>
      <c r="H1040" t="s">
        <v>42</v>
      </c>
      <c r="I1040">
        <v>75000</v>
      </c>
      <c r="J1040">
        <v>7500</v>
      </c>
      <c r="K1040">
        <v>30</v>
      </c>
      <c r="L1040" t="s">
        <v>18</v>
      </c>
      <c r="M1040" t="s">
        <v>23</v>
      </c>
    </row>
    <row r="1041" spans="1:13" x14ac:dyDescent="0.3">
      <c r="A1041">
        <v>31</v>
      </c>
      <c r="B1041" t="s">
        <v>13</v>
      </c>
      <c r="C1041" t="s">
        <v>263</v>
      </c>
      <c r="D1041" t="s">
        <v>43</v>
      </c>
      <c r="E1041">
        <v>8</v>
      </c>
      <c r="F1041">
        <v>0</v>
      </c>
      <c r="G1041" t="s">
        <v>16</v>
      </c>
      <c r="H1041" t="s">
        <v>80</v>
      </c>
      <c r="I1041">
        <v>60000</v>
      </c>
      <c r="J1041">
        <v>6000</v>
      </c>
      <c r="K1041">
        <v>30</v>
      </c>
      <c r="L1041" t="s">
        <v>18</v>
      </c>
      <c r="M1041" t="s">
        <v>23</v>
      </c>
    </row>
    <row r="1042" spans="1:13" x14ac:dyDescent="0.3">
      <c r="A1042">
        <v>30</v>
      </c>
      <c r="B1042" t="s">
        <v>13</v>
      </c>
      <c r="C1042" t="s">
        <v>14</v>
      </c>
      <c r="D1042" t="s">
        <v>25</v>
      </c>
      <c r="E1042">
        <v>9</v>
      </c>
      <c r="F1042">
        <v>3</v>
      </c>
      <c r="G1042" t="s">
        <v>28</v>
      </c>
      <c r="H1042" t="s">
        <v>17</v>
      </c>
      <c r="I1042">
        <v>66000</v>
      </c>
      <c r="J1042">
        <v>0</v>
      </c>
      <c r="K1042">
        <v>30</v>
      </c>
      <c r="L1042" t="s">
        <v>18</v>
      </c>
      <c r="M1042" t="s">
        <v>23</v>
      </c>
    </row>
    <row r="1043" spans="1:13" x14ac:dyDescent="0.3">
      <c r="A1043">
        <v>32</v>
      </c>
      <c r="B1043" t="s">
        <v>13</v>
      </c>
      <c r="C1043" t="s">
        <v>20</v>
      </c>
      <c r="D1043" t="s">
        <v>25</v>
      </c>
      <c r="E1043">
        <v>7</v>
      </c>
      <c r="F1043">
        <v>1</v>
      </c>
      <c r="G1043" t="s">
        <v>28</v>
      </c>
      <c r="H1043" t="s">
        <v>17</v>
      </c>
      <c r="I1043">
        <v>68000</v>
      </c>
      <c r="J1043">
        <v>0</v>
      </c>
      <c r="K1043">
        <v>30</v>
      </c>
      <c r="L1043" t="s">
        <v>18</v>
      </c>
      <c r="M1043" t="s">
        <v>23</v>
      </c>
    </row>
    <row r="1044" spans="1:13" x14ac:dyDescent="0.3">
      <c r="A1044">
        <v>44</v>
      </c>
      <c r="B1044" t="s">
        <v>13</v>
      </c>
      <c r="C1044" t="s">
        <v>219</v>
      </c>
      <c r="D1044" t="s">
        <v>148</v>
      </c>
      <c r="E1044">
        <v>15</v>
      </c>
      <c r="F1044">
        <v>0</v>
      </c>
      <c r="G1044" t="s">
        <v>62</v>
      </c>
      <c r="H1044" t="s">
        <v>283</v>
      </c>
      <c r="I1044">
        <v>60000</v>
      </c>
      <c r="J1044">
        <v>0</v>
      </c>
      <c r="K1044">
        <v>30</v>
      </c>
      <c r="L1044" t="s">
        <v>18</v>
      </c>
      <c r="M1044" t="s">
        <v>23</v>
      </c>
    </row>
    <row r="1045" spans="1:13" x14ac:dyDescent="0.3">
      <c r="A1045">
        <v>30</v>
      </c>
      <c r="B1045" t="s">
        <v>13</v>
      </c>
      <c r="C1045" t="s">
        <v>14</v>
      </c>
      <c r="D1045" t="s">
        <v>60</v>
      </c>
      <c r="E1045">
        <v>5</v>
      </c>
      <c r="F1045">
        <v>5</v>
      </c>
      <c r="G1045" t="s">
        <v>16</v>
      </c>
      <c r="H1045" t="s">
        <v>74</v>
      </c>
      <c r="I1045">
        <v>75000</v>
      </c>
      <c r="J1045">
        <v>10000</v>
      </c>
      <c r="K1045">
        <v>30</v>
      </c>
      <c r="L1045" t="s">
        <v>18</v>
      </c>
      <c r="M1045" t="s">
        <v>23</v>
      </c>
    </row>
    <row r="1046" spans="1:13" x14ac:dyDescent="0.3">
      <c r="A1046">
        <v>38</v>
      </c>
      <c r="B1046" t="s">
        <v>13</v>
      </c>
      <c r="C1046" t="s">
        <v>20</v>
      </c>
      <c r="D1046" t="s">
        <v>302</v>
      </c>
      <c r="E1046">
        <v>15</v>
      </c>
      <c r="F1046">
        <v>5</v>
      </c>
      <c r="G1046" t="s">
        <v>62</v>
      </c>
      <c r="I1046">
        <v>80000</v>
      </c>
      <c r="J1046">
        <v>5000</v>
      </c>
      <c r="K1046">
        <v>30</v>
      </c>
      <c r="L1046" t="s">
        <v>18</v>
      </c>
      <c r="M1046" t="s">
        <v>23</v>
      </c>
    </row>
    <row r="1047" spans="1:13" x14ac:dyDescent="0.3">
      <c r="A1047">
        <v>36</v>
      </c>
      <c r="B1047" t="s">
        <v>13</v>
      </c>
      <c r="C1047" t="s">
        <v>20</v>
      </c>
      <c r="D1047" t="s">
        <v>27</v>
      </c>
      <c r="E1047">
        <v>15</v>
      </c>
      <c r="F1047">
        <v>4</v>
      </c>
      <c r="G1047" t="s">
        <v>24</v>
      </c>
      <c r="I1047">
        <v>90000</v>
      </c>
      <c r="K1047">
        <v>30</v>
      </c>
      <c r="L1047" t="s">
        <v>18</v>
      </c>
      <c r="M1047" t="s">
        <v>23</v>
      </c>
    </row>
    <row r="1048" spans="1:13" x14ac:dyDescent="0.3">
      <c r="A1048">
        <v>38</v>
      </c>
      <c r="B1048" t="s">
        <v>13</v>
      </c>
      <c r="C1048" t="s">
        <v>20</v>
      </c>
      <c r="D1048" t="s">
        <v>147</v>
      </c>
      <c r="E1048">
        <v>5</v>
      </c>
      <c r="F1048">
        <v>3</v>
      </c>
      <c r="G1048" t="s">
        <v>24</v>
      </c>
      <c r="I1048">
        <v>80000</v>
      </c>
      <c r="J1048">
        <v>0</v>
      </c>
      <c r="K1048">
        <v>30</v>
      </c>
      <c r="L1048" t="s">
        <v>18</v>
      </c>
      <c r="M1048" t="s">
        <v>23</v>
      </c>
    </row>
    <row r="1049" spans="1:13" x14ac:dyDescent="0.3">
      <c r="A1049">
        <v>40</v>
      </c>
      <c r="B1049" t="s">
        <v>13</v>
      </c>
      <c r="C1049" t="s">
        <v>20</v>
      </c>
      <c r="D1049" t="s">
        <v>191</v>
      </c>
      <c r="E1049">
        <v>10</v>
      </c>
      <c r="F1049">
        <v>3</v>
      </c>
      <c r="G1049" t="s">
        <v>28</v>
      </c>
      <c r="I1049">
        <v>89000</v>
      </c>
      <c r="J1049">
        <v>10000</v>
      </c>
      <c r="K1049">
        <v>30</v>
      </c>
      <c r="L1049" t="s">
        <v>18</v>
      </c>
      <c r="M1049" t="s">
        <v>23</v>
      </c>
    </row>
    <row r="1050" spans="1:13" x14ac:dyDescent="0.3">
      <c r="A1050">
        <v>37</v>
      </c>
      <c r="B1050" t="s">
        <v>13</v>
      </c>
      <c r="C1050" t="s">
        <v>20</v>
      </c>
      <c r="D1050" t="s">
        <v>41</v>
      </c>
      <c r="E1050">
        <v>6</v>
      </c>
      <c r="F1050">
        <v>6</v>
      </c>
      <c r="G1050" t="s">
        <v>28</v>
      </c>
      <c r="I1050">
        <v>62000</v>
      </c>
      <c r="J1050">
        <v>62000</v>
      </c>
      <c r="K1050">
        <v>30</v>
      </c>
      <c r="L1050" t="s">
        <v>36</v>
      </c>
      <c r="M1050" t="s">
        <v>23</v>
      </c>
    </row>
    <row r="1051" spans="1:13" x14ac:dyDescent="0.3">
      <c r="A1051">
        <v>29</v>
      </c>
      <c r="B1051" t="s">
        <v>13</v>
      </c>
      <c r="C1051" t="s">
        <v>20</v>
      </c>
      <c r="D1051" t="s">
        <v>41</v>
      </c>
      <c r="E1051">
        <v>5</v>
      </c>
      <c r="F1051">
        <v>5</v>
      </c>
      <c r="G1051" t="s">
        <v>28</v>
      </c>
      <c r="I1051">
        <v>57750</v>
      </c>
      <c r="K1051">
        <v>30</v>
      </c>
      <c r="L1051" t="s">
        <v>18</v>
      </c>
      <c r="M1051" t="s">
        <v>23</v>
      </c>
    </row>
    <row r="1052" spans="1:13" x14ac:dyDescent="0.3">
      <c r="A1052">
        <v>27</v>
      </c>
      <c r="B1052" t="s">
        <v>13</v>
      </c>
      <c r="C1052" t="s">
        <v>133</v>
      </c>
      <c r="D1052" t="s">
        <v>52</v>
      </c>
      <c r="E1052">
        <v>3</v>
      </c>
      <c r="F1052">
        <v>3</v>
      </c>
      <c r="G1052" t="s">
        <v>28</v>
      </c>
      <c r="I1052">
        <v>55000</v>
      </c>
      <c r="J1052">
        <v>0</v>
      </c>
      <c r="K1052">
        <v>30</v>
      </c>
      <c r="L1052" t="s">
        <v>36</v>
      </c>
      <c r="M1052" t="s">
        <v>23</v>
      </c>
    </row>
    <row r="1053" spans="1:13" x14ac:dyDescent="0.3">
      <c r="A1053">
        <v>37</v>
      </c>
      <c r="B1053" t="s">
        <v>13</v>
      </c>
      <c r="C1053" t="s">
        <v>20</v>
      </c>
      <c r="D1053" t="s">
        <v>52</v>
      </c>
      <c r="E1053">
        <v>8</v>
      </c>
      <c r="F1053">
        <v>7</v>
      </c>
      <c r="G1053" t="s">
        <v>28</v>
      </c>
      <c r="I1053">
        <v>54000</v>
      </c>
      <c r="K1053">
        <v>30</v>
      </c>
      <c r="L1053" t="s">
        <v>36</v>
      </c>
      <c r="M1053" t="s">
        <v>23</v>
      </c>
    </row>
    <row r="1054" spans="1:13" x14ac:dyDescent="0.3">
      <c r="A1054">
        <v>32</v>
      </c>
      <c r="B1054" t="s">
        <v>33</v>
      </c>
      <c r="C1054" t="s">
        <v>14</v>
      </c>
      <c r="D1054" t="s">
        <v>52</v>
      </c>
      <c r="E1054">
        <v>9</v>
      </c>
      <c r="F1054">
        <v>9</v>
      </c>
      <c r="G1054" t="s">
        <v>28</v>
      </c>
      <c r="I1054">
        <v>60000</v>
      </c>
      <c r="K1054">
        <v>30</v>
      </c>
      <c r="L1054" t="s">
        <v>36</v>
      </c>
      <c r="M1054" t="s">
        <v>23</v>
      </c>
    </row>
    <row r="1055" spans="1:13" x14ac:dyDescent="0.3">
      <c r="A1055">
        <v>46</v>
      </c>
      <c r="B1055" t="s">
        <v>13</v>
      </c>
      <c r="C1055" t="s">
        <v>14</v>
      </c>
      <c r="D1055" t="s">
        <v>103</v>
      </c>
      <c r="E1055">
        <v>4</v>
      </c>
      <c r="F1055">
        <v>1.5</v>
      </c>
      <c r="G1055" t="s">
        <v>16</v>
      </c>
      <c r="I1055">
        <v>82000</v>
      </c>
      <c r="K1055">
        <v>30</v>
      </c>
      <c r="L1055" t="s">
        <v>18</v>
      </c>
      <c r="M1055" t="s">
        <v>23</v>
      </c>
    </row>
    <row r="1056" spans="1:13" x14ac:dyDescent="0.3">
      <c r="A1056">
        <v>41</v>
      </c>
      <c r="B1056" t="s">
        <v>33</v>
      </c>
      <c r="C1056" t="s">
        <v>14</v>
      </c>
      <c r="D1056" t="s">
        <v>35</v>
      </c>
      <c r="E1056">
        <v>12</v>
      </c>
      <c r="F1056">
        <v>12</v>
      </c>
      <c r="G1056" t="s">
        <v>16</v>
      </c>
      <c r="I1056">
        <v>68000</v>
      </c>
      <c r="J1056">
        <v>4500</v>
      </c>
      <c r="K1056">
        <v>30</v>
      </c>
      <c r="L1056" t="s">
        <v>36</v>
      </c>
      <c r="M1056" t="s">
        <v>23</v>
      </c>
    </row>
    <row r="1057" spans="1:13" x14ac:dyDescent="0.3">
      <c r="B1057" t="s">
        <v>13</v>
      </c>
      <c r="C1057" t="s">
        <v>20</v>
      </c>
      <c r="D1057" t="s">
        <v>27</v>
      </c>
      <c r="E1057">
        <v>14</v>
      </c>
      <c r="F1057">
        <v>5</v>
      </c>
      <c r="G1057" t="s">
        <v>16</v>
      </c>
      <c r="I1057">
        <v>67000</v>
      </c>
      <c r="J1057">
        <v>7000</v>
      </c>
      <c r="K1057">
        <v>30</v>
      </c>
      <c r="L1057" t="s">
        <v>18</v>
      </c>
      <c r="M1057" t="s">
        <v>23</v>
      </c>
    </row>
    <row r="1058" spans="1:13" x14ac:dyDescent="0.3">
      <c r="A1058">
        <v>33</v>
      </c>
      <c r="B1058" t="s">
        <v>13</v>
      </c>
      <c r="C1058" t="s">
        <v>20</v>
      </c>
      <c r="D1058" t="s">
        <v>41</v>
      </c>
      <c r="E1058">
        <v>5</v>
      </c>
      <c r="F1058">
        <v>5</v>
      </c>
      <c r="G1058" t="s">
        <v>16</v>
      </c>
      <c r="I1058">
        <v>70000</v>
      </c>
      <c r="J1058">
        <v>800</v>
      </c>
      <c r="K1058">
        <v>30</v>
      </c>
      <c r="L1058" t="s">
        <v>36</v>
      </c>
      <c r="M1058" t="s">
        <v>23</v>
      </c>
    </row>
    <row r="1059" spans="1:13" x14ac:dyDescent="0.3">
      <c r="A1059">
        <v>35</v>
      </c>
      <c r="B1059" t="s">
        <v>13</v>
      </c>
      <c r="C1059" t="s">
        <v>121</v>
      </c>
      <c r="D1059" t="s">
        <v>41</v>
      </c>
      <c r="E1059">
        <v>5</v>
      </c>
      <c r="F1059">
        <v>2</v>
      </c>
      <c r="G1059" t="s">
        <v>16</v>
      </c>
      <c r="I1059">
        <v>56000</v>
      </c>
      <c r="J1059">
        <v>56000</v>
      </c>
      <c r="K1059">
        <v>30</v>
      </c>
      <c r="L1059" t="s">
        <v>18</v>
      </c>
      <c r="M1059" t="s">
        <v>23</v>
      </c>
    </row>
    <row r="1060" spans="1:13" x14ac:dyDescent="0.3">
      <c r="A1060">
        <v>33</v>
      </c>
      <c r="B1060" t="s">
        <v>33</v>
      </c>
      <c r="C1060" t="s">
        <v>14</v>
      </c>
      <c r="D1060" t="s">
        <v>52</v>
      </c>
      <c r="E1060">
        <v>6.5</v>
      </c>
      <c r="F1060">
        <v>3</v>
      </c>
      <c r="G1060" t="s">
        <v>16</v>
      </c>
      <c r="I1060">
        <v>58000</v>
      </c>
      <c r="J1060">
        <v>3500</v>
      </c>
      <c r="K1060">
        <v>30</v>
      </c>
      <c r="L1060" t="s">
        <v>18</v>
      </c>
      <c r="M1060" t="s">
        <v>23</v>
      </c>
    </row>
    <row r="1061" spans="1:13" x14ac:dyDescent="0.3">
      <c r="A1061">
        <v>36</v>
      </c>
      <c r="B1061" t="s">
        <v>13</v>
      </c>
      <c r="C1061" t="s">
        <v>70</v>
      </c>
      <c r="D1061" t="s">
        <v>52</v>
      </c>
      <c r="E1061">
        <v>9</v>
      </c>
      <c r="F1061">
        <v>2</v>
      </c>
      <c r="G1061" t="s">
        <v>16</v>
      </c>
      <c r="I1061">
        <v>64000</v>
      </c>
      <c r="K1061">
        <v>30</v>
      </c>
      <c r="L1061" t="s">
        <v>18</v>
      </c>
      <c r="M1061" t="s">
        <v>23</v>
      </c>
    </row>
    <row r="1062" spans="1:13" x14ac:dyDescent="0.3">
      <c r="A1062">
        <v>34</v>
      </c>
      <c r="B1062" t="s">
        <v>13</v>
      </c>
      <c r="C1062" t="s">
        <v>14</v>
      </c>
      <c r="D1062" t="s">
        <v>15</v>
      </c>
      <c r="E1062">
        <v>13</v>
      </c>
      <c r="F1062">
        <v>3</v>
      </c>
      <c r="G1062" t="s">
        <v>24</v>
      </c>
      <c r="H1062" t="s">
        <v>58</v>
      </c>
      <c r="I1062">
        <v>72000</v>
      </c>
      <c r="J1062">
        <v>72000</v>
      </c>
      <c r="K1062">
        <v>30</v>
      </c>
      <c r="L1062" t="s">
        <v>18</v>
      </c>
      <c r="M1062" t="s">
        <v>19</v>
      </c>
    </row>
    <row r="1063" spans="1:13" x14ac:dyDescent="0.3">
      <c r="A1063">
        <v>36</v>
      </c>
      <c r="B1063" t="s">
        <v>13</v>
      </c>
      <c r="C1063" t="s">
        <v>70</v>
      </c>
      <c r="D1063" t="s">
        <v>15</v>
      </c>
      <c r="E1063">
        <v>16</v>
      </c>
      <c r="F1063">
        <v>5</v>
      </c>
      <c r="G1063" t="s">
        <v>28</v>
      </c>
      <c r="H1063" t="s">
        <v>58</v>
      </c>
      <c r="I1063">
        <v>65000</v>
      </c>
      <c r="J1063">
        <v>0</v>
      </c>
      <c r="K1063">
        <v>30</v>
      </c>
      <c r="L1063" t="s">
        <v>36</v>
      </c>
      <c r="M1063" t="s">
        <v>19</v>
      </c>
    </row>
    <row r="1064" spans="1:13" x14ac:dyDescent="0.3">
      <c r="A1064">
        <v>27</v>
      </c>
      <c r="B1064" t="s">
        <v>13</v>
      </c>
      <c r="C1064" t="s">
        <v>14</v>
      </c>
      <c r="D1064" t="s">
        <v>15</v>
      </c>
      <c r="E1064">
        <v>7</v>
      </c>
      <c r="F1064">
        <v>4</v>
      </c>
      <c r="G1064" t="s">
        <v>28</v>
      </c>
      <c r="H1064" t="s">
        <v>58</v>
      </c>
      <c r="I1064">
        <v>63000</v>
      </c>
      <c r="K1064">
        <v>30</v>
      </c>
      <c r="L1064" t="s">
        <v>18</v>
      </c>
      <c r="M1064" t="s">
        <v>19</v>
      </c>
    </row>
    <row r="1065" spans="1:13" x14ac:dyDescent="0.3">
      <c r="A1065">
        <v>35</v>
      </c>
      <c r="B1065" t="s">
        <v>33</v>
      </c>
      <c r="C1065" t="s">
        <v>70</v>
      </c>
      <c r="D1065" t="s">
        <v>15</v>
      </c>
      <c r="E1065">
        <v>1</v>
      </c>
      <c r="F1065">
        <v>1</v>
      </c>
      <c r="G1065" t="s">
        <v>26</v>
      </c>
      <c r="H1065" t="s">
        <v>166</v>
      </c>
      <c r="I1065">
        <v>50000</v>
      </c>
      <c r="J1065">
        <v>0</v>
      </c>
      <c r="K1065">
        <v>30</v>
      </c>
      <c r="L1065" t="s">
        <v>36</v>
      </c>
      <c r="M1065" t="s">
        <v>19</v>
      </c>
    </row>
    <row r="1066" spans="1:13" x14ac:dyDescent="0.3">
      <c r="A1066">
        <v>35</v>
      </c>
      <c r="B1066" t="s">
        <v>13</v>
      </c>
      <c r="C1066" t="s">
        <v>70</v>
      </c>
      <c r="D1066" t="s">
        <v>21</v>
      </c>
      <c r="E1066">
        <v>15</v>
      </c>
      <c r="F1066">
        <v>15</v>
      </c>
      <c r="G1066" t="s">
        <v>16</v>
      </c>
      <c r="H1066" t="s">
        <v>111</v>
      </c>
      <c r="I1066">
        <v>63000</v>
      </c>
      <c r="J1066">
        <v>7000</v>
      </c>
      <c r="K1066">
        <v>30</v>
      </c>
      <c r="L1066" t="s">
        <v>36</v>
      </c>
      <c r="M1066" t="s">
        <v>19</v>
      </c>
    </row>
    <row r="1067" spans="1:13" x14ac:dyDescent="0.3">
      <c r="A1067">
        <v>34</v>
      </c>
      <c r="B1067" t="s">
        <v>13</v>
      </c>
      <c r="C1067" t="s">
        <v>20</v>
      </c>
      <c r="D1067" t="s">
        <v>305</v>
      </c>
      <c r="E1067">
        <v>13</v>
      </c>
      <c r="F1067">
        <v>2</v>
      </c>
      <c r="G1067" t="s">
        <v>24</v>
      </c>
      <c r="H1067" t="s">
        <v>64</v>
      </c>
      <c r="I1067">
        <v>65000</v>
      </c>
      <c r="J1067">
        <v>0</v>
      </c>
      <c r="K1067">
        <v>30</v>
      </c>
      <c r="L1067" t="s">
        <v>18</v>
      </c>
      <c r="M1067" t="s">
        <v>19</v>
      </c>
    </row>
    <row r="1068" spans="1:13" x14ac:dyDescent="0.3">
      <c r="A1068">
        <v>32</v>
      </c>
      <c r="B1068" t="s">
        <v>33</v>
      </c>
      <c r="C1068" t="s">
        <v>86</v>
      </c>
      <c r="D1068" t="s">
        <v>87</v>
      </c>
      <c r="E1068">
        <v>10</v>
      </c>
      <c r="F1068">
        <v>1</v>
      </c>
      <c r="G1068" t="s">
        <v>28</v>
      </c>
      <c r="H1068" t="s">
        <v>64</v>
      </c>
      <c r="I1068">
        <v>49000</v>
      </c>
      <c r="K1068">
        <v>30</v>
      </c>
      <c r="L1068" t="s">
        <v>88</v>
      </c>
      <c r="M1068" t="s">
        <v>19</v>
      </c>
    </row>
    <row r="1069" spans="1:13" x14ac:dyDescent="0.3">
      <c r="A1069">
        <v>36</v>
      </c>
      <c r="B1069" t="s">
        <v>13</v>
      </c>
      <c r="C1069" t="s">
        <v>313</v>
      </c>
      <c r="D1069" t="s">
        <v>15</v>
      </c>
      <c r="E1069">
        <v>10</v>
      </c>
      <c r="F1069">
        <v>10</v>
      </c>
      <c r="G1069" t="s">
        <v>28</v>
      </c>
      <c r="H1069" t="s">
        <v>64</v>
      </c>
      <c r="I1069">
        <v>66000</v>
      </c>
      <c r="J1069">
        <v>6000</v>
      </c>
      <c r="K1069">
        <v>30</v>
      </c>
      <c r="L1069" t="s">
        <v>36</v>
      </c>
      <c r="M1069" t="s">
        <v>19</v>
      </c>
    </row>
    <row r="1070" spans="1:13" x14ac:dyDescent="0.3">
      <c r="A1070">
        <v>33</v>
      </c>
      <c r="B1070" t="s">
        <v>13</v>
      </c>
      <c r="C1070" t="s">
        <v>14</v>
      </c>
      <c r="D1070" t="s">
        <v>15</v>
      </c>
      <c r="E1070">
        <v>10</v>
      </c>
      <c r="F1070">
        <v>4</v>
      </c>
      <c r="G1070" t="s">
        <v>16</v>
      </c>
      <c r="H1070" t="s">
        <v>64</v>
      </c>
      <c r="I1070">
        <v>78000</v>
      </c>
      <c r="K1070">
        <v>30</v>
      </c>
      <c r="L1070" t="s">
        <v>36</v>
      </c>
      <c r="M1070" t="s">
        <v>19</v>
      </c>
    </row>
    <row r="1071" spans="1:13" x14ac:dyDescent="0.3">
      <c r="A1071">
        <v>37</v>
      </c>
      <c r="B1071" t="s">
        <v>13</v>
      </c>
      <c r="C1071" t="s">
        <v>14</v>
      </c>
      <c r="D1071" t="s">
        <v>15</v>
      </c>
      <c r="E1071">
        <v>15</v>
      </c>
      <c r="F1071">
        <v>6</v>
      </c>
      <c r="G1071" t="s">
        <v>16</v>
      </c>
      <c r="H1071" t="s">
        <v>64</v>
      </c>
      <c r="I1071">
        <v>80000</v>
      </c>
      <c r="K1071">
        <v>30</v>
      </c>
      <c r="L1071" t="s">
        <v>36</v>
      </c>
      <c r="M1071" t="s">
        <v>19</v>
      </c>
    </row>
    <row r="1072" spans="1:13" x14ac:dyDescent="0.3">
      <c r="A1072">
        <v>44</v>
      </c>
      <c r="B1072" t="s">
        <v>13</v>
      </c>
      <c r="C1072" t="s">
        <v>14</v>
      </c>
      <c r="D1072" t="s">
        <v>15</v>
      </c>
      <c r="E1072">
        <v>28</v>
      </c>
      <c r="F1072">
        <v>6</v>
      </c>
      <c r="G1072" t="s">
        <v>16</v>
      </c>
      <c r="H1072" t="s">
        <v>64</v>
      </c>
      <c r="I1072">
        <v>78500</v>
      </c>
      <c r="J1072">
        <v>0</v>
      </c>
      <c r="K1072">
        <v>30</v>
      </c>
      <c r="L1072" t="s">
        <v>18</v>
      </c>
      <c r="M1072" t="s">
        <v>19</v>
      </c>
    </row>
    <row r="1073" spans="1:13" x14ac:dyDescent="0.3">
      <c r="A1073">
        <v>32</v>
      </c>
      <c r="B1073" t="s">
        <v>13</v>
      </c>
      <c r="C1073" t="s">
        <v>70</v>
      </c>
      <c r="D1073" t="s">
        <v>15</v>
      </c>
      <c r="E1073">
        <v>7</v>
      </c>
      <c r="F1073">
        <v>7</v>
      </c>
      <c r="G1073" t="s">
        <v>16</v>
      </c>
      <c r="H1073" t="s">
        <v>111</v>
      </c>
      <c r="I1073">
        <v>70000</v>
      </c>
      <c r="J1073">
        <v>4000</v>
      </c>
      <c r="K1073">
        <v>30</v>
      </c>
      <c r="L1073" t="s">
        <v>36</v>
      </c>
      <c r="M1073" t="s">
        <v>19</v>
      </c>
    </row>
    <row r="1074" spans="1:13" x14ac:dyDescent="0.3">
      <c r="A1074">
        <v>29</v>
      </c>
      <c r="B1074" t="s">
        <v>13</v>
      </c>
      <c r="C1074" t="s">
        <v>220</v>
      </c>
      <c r="D1074" t="s">
        <v>15</v>
      </c>
      <c r="E1074">
        <v>7</v>
      </c>
      <c r="F1074">
        <v>5</v>
      </c>
      <c r="G1074" t="s">
        <v>28</v>
      </c>
      <c r="H1074" t="s">
        <v>37</v>
      </c>
      <c r="I1074">
        <v>70000</v>
      </c>
      <c r="J1074">
        <v>0</v>
      </c>
      <c r="K1074">
        <v>30</v>
      </c>
      <c r="L1074" t="s">
        <v>18</v>
      </c>
      <c r="M1074" t="s">
        <v>19</v>
      </c>
    </row>
    <row r="1075" spans="1:13" x14ac:dyDescent="0.3">
      <c r="A1075">
        <v>34</v>
      </c>
      <c r="B1075" t="s">
        <v>13</v>
      </c>
      <c r="C1075" t="s">
        <v>20</v>
      </c>
      <c r="D1075" t="s">
        <v>21</v>
      </c>
      <c r="E1075">
        <v>15</v>
      </c>
      <c r="F1075">
        <v>5</v>
      </c>
      <c r="G1075" t="s">
        <v>16</v>
      </c>
      <c r="H1075" t="s">
        <v>152</v>
      </c>
      <c r="I1075">
        <v>70000</v>
      </c>
      <c r="J1075">
        <v>70000</v>
      </c>
      <c r="K1075">
        <v>30</v>
      </c>
      <c r="L1075" t="s">
        <v>18</v>
      </c>
      <c r="M1075" t="s">
        <v>19</v>
      </c>
    </row>
    <row r="1076" spans="1:13" x14ac:dyDescent="0.3">
      <c r="A1076">
        <v>44</v>
      </c>
      <c r="B1076" t="s">
        <v>13</v>
      </c>
      <c r="C1076" t="s">
        <v>59</v>
      </c>
      <c r="D1076" t="s">
        <v>15</v>
      </c>
      <c r="E1076">
        <v>22</v>
      </c>
      <c r="F1076">
        <v>3</v>
      </c>
      <c r="G1076" t="s">
        <v>16</v>
      </c>
      <c r="H1076" t="s">
        <v>153</v>
      </c>
      <c r="I1076">
        <v>76000</v>
      </c>
      <c r="K1076">
        <v>30</v>
      </c>
      <c r="L1076" t="s">
        <v>18</v>
      </c>
      <c r="M1076" t="s">
        <v>19</v>
      </c>
    </row>
    <row r="1077" spans="1:13" x14ac:dyDescent="0.3">
      <c r="A1077">
        <v>38</v>
      </c>
      <c r="B1077" t="s">
        <v>13</v>
      </c>
      <c r="C1077" t="s">
        <v>218</v>
      </c>
      <c r="D1077" t="s">
        <v>15</v>
      </c>
      <c r="E1077">
        <v>10</v>
      </c>
      <c r="F1077">
        <v>10</v>
      </c>
      <c r="G1077" t="s">
        <v>24</v>
      </c>
      <c r="H1077" t="s">
        <v>51</v>
      </c>
      <c r="I1077">
        <v>62000</v>
      </c>
      <c r="K1077">
        <v>30</v>
      </c>
      <c r="L1077" t="s">
        <v>36</v>
      </c>
      <c r="M1077" t="s">
        <v>19</v>
      </c>
    </row>
    <row r="1078" spans="1:13" x14ac:dyDescent="0.3">
      <c r="A1078">
        <v>38</v>
      </c>
      <c r="B1078" t="s">
        <v>13</v>
      </c>
      <c r="C1078" t="s">
        <v>20</v>
      </c>
      <c r="D1078" t="s">
        <v>27</v>
      </c>
      <c r="E1078">
        <v>10</v>
      </c>
      <c r="F1078">
        <v>5</v>
      </c>
      <c r="G1078" t="s">
        <v>16</v>
      </c>
      <c r="H1078" t="s">
        <v>51</v>
      </c>
      <c r="I1078">
        <v>70000</v>
      </c>
      <c r="K1078">
        <v>30</v>
      </c>
      <c r="L1078" t="s">
        <v>18</v>
      </c>
      <c r="M1078" t="s">
        <v>19</v>
      </c>
    </row>
    <row r="1079" spans="1:13" x14ac:dyDescent="0.3">
      <c r="A1079">
        <v>34</v>
      </c>
      <c r="B1079" t="s">
        <v>13</v>
      </c>
      <c r="C1079" t="s">
        <v>330</v>
      </c>
      <c r="D1079" t="s">
        <v>44</v>
      </c>
      <c r="E1079">
        <v>14</v>
      </c>
      <c r="F1079">
        <v>0</v>
      </c>
      <c r="G1079" t="s">
        <v>24</v>
      </c>
      <c r="H1079" t="s">
        <v>331</v>
      </c>
      <c r="I1079">
        <v>100000</v>
      </c>
      <c r="J1079">
        <v>0</v>
      </c>
      <c r="K1079">
        <v>30</v>
      </c>
      <c r="L1079" t="s">
        <v>18</v>
      </c>
      <c r="M1079" t="s">
        <v>19</v>
      </c>
    </row>
    <row r="1080" spans="1:13" x14ac:dyDescent="0.3">
      <c r="A1080">
        <v>31</v>
      </c>
      <c r="B1080" t="s">
        <v>13</v>
      </c>
      <c r="C1080" t="s">
        <v>192</v>
      </c>
      <c r="D1080" t="s">
        <v>15</v>
      </c>
      <c r="E1080">
        <v>5</v>
      </c>
      <c r="F1080">
        <v>0</v>
      </c>
      <c r="G1080" t="s">
        <v>28</v>
      </c>
      <c r="H1080" t="s">
        <v>32</v>
      </c>
      <c r="I1080">
        <v>59064</v>
      </c>
      <c r="J1080">
        <v>66447</v>
      </c>
      <c r="K1080">
        <v>30</v>
      </c>
      <c r="L1080" t="s">
        <v>18</v>
      </c>
      <c r="M1080" t="s">
        <v>19</v>
      </c>
    </row>
    <row r="1081" spans="1:13" x14ac:dyDescent="0.3">
      <c r="A1081">
        <v>38</v>
      </c>
      <c r="B1081" t="s">
        <v>13</v>
      </c>
      <c r="C1081" t="s">
        <v>34</v>
      </c>
      <c r="D1081" t="s">
        <v>15</v>
      </c>
      <c r="E1081">
        <v>12</v>
      </c>
      <c r="F1081">
        <v>6</v>
      </c>
      <c r="G1081" t="s">
        <v>16</v>
      </c>
      <c r="H1081" t="s">
        <v>32</v>
      </c>
      <c r="I1081">
        <v>73000</v>
      </c>
      <c r="J1081">
        <v>7000</v>
      </c>
      <c r="K1081">
        <v>30</v>
      </c>
      <c r="L1081" t="s">
        <v>18</v>
      </c>
      <c r="M1081" t="s">
        <v>19</v>
      </c>
    </row>
    <row r="1082" spans="1:13" x14ac:dyDescent="0.3">
      <c r="A1082">
        <v>35</v>
      </c>
      <c r="B1082" t="s">
        <v>13</v>
      </c>
      <c r="C1082" t="s">
        <v>20</v>
      </c>
      <c r="D1082" t="s">
        <v>21</v>
      </c>
      <c r="E1082">
        <v>6</v>
      </c>
      <c r="F1082">
        <v>2</v>
      </c>
      <c r="G1082" t="s">
        <v>16</v>
      </c>
      <c r="H1082" t="s">
        <v>32</v>
      </c>
      <c r="I1082">
        <v>74000</v>
      </c>
      <c r="J1082">
        <v>2000</v>
      </c>
      <c r="K1082">
        <v>30</v>
      </c>
      <c r="L1082" t="s">
        <v>18</v>
      </c>
      <c r="M1082" t="s">
        <v>19</v>
      </c>
    </row>
    <row r="1083" spans="1:13" x14ac:dyDescent="0.3">
      <c r="A1083">
        <v>36</v>
      </c>
      <c r="B1083" t="s">
        <v>13</v>
      </c>
      <c r="C1083" t="s">
        <v>34</v>
      </c>
      <c r="D1083" t="s">
        <v>21</v>
      </c>
      <c r="E1083">
        <v>10</v>
      </c>
      <c r="F1083">
        <v>5</v>
      </c>
      <c r="G1083" t="s">
        <v>16</v>
      </c>
      <c r="H1083" t="s">
        <v>32</v>
      </c>
      <c r="I1083">
        <v>82000</v>
      </c>
      <c r="K1083">
        <v>30</v>
      </c>
      <c r="L1083" t="s">
        <v>36</v>
      </c>
      <c r="M1083" t="s">
        <v>19</v>
      </c>
    </row>
    <row r="1084" spans="1:13" x14ac:dyDescent="0.3">
      <c r="A1084">
        <v>38</v>
      </c>
      <c r="B1084" t="s">
        <v>13</v>
      </c>
      <c r="C1084" t="s">
        <v>14</v>
      </c>
      <c r="D1084" t="s">
        <v>15</v>
      </c>
      <c r="E1084">
        <v>15</v>
      </c>
      <c r="F1084">
        <v>5</v>
      </c>
      <c r="G1084" t="s">
        <v>16</v>
      </c>
      <c r="H1084" t="s">
        <v>55</v>
      </c>
      <c r="I1084">
        <v>80000</v>
      </c>
      <c r="J1084">
        <v>6000</v>
      </c>
      <c r="K1084">
        <v>30</v>
      </c>
      <c r="L1084" t="s">
        <v>18</v>
      </c>
      <c r="M1084" t="s">
        <v>19</v>
      </c>
    </row>
    <row r="1085" spans="1:13" x14ac:dyDescent="0.3">
      <c r="A1085">
        <v>46</v>
      </c>
      <c r="B1085" t="s">
        <v>13</v>
      </c>
      <c r="C1085" t="s">
        <v>20</v>
      </c>
      <c r="D1085" t="s">
        <v>15</v>
      </c>
      <c r="E1085">
        <v>14</v>
      </c>
      <c r="F1085">
        <v>14</v>
      </c>
      <c r="G1085" t="s">
        <v>16</v>
      </c>
      <c r="H1085" t="s">
        <v>55</v>
      </c>
      <c r="I1085">
        <v>80000</v>
      </c>
      <c r="K1085">
        <v>30</v>
      </c>
      <c r="L1085" t="s">
        <v>18</v>
      </c>
      <c r="M1085" t="s">
        <v>19</v>
      </c>
    </row>
    <row r="1086" spans="1:13" x14ac:dyDescent="0.3">
      <c r="A1086">
        <v>46</v>
      </c>
      <c r="B1086" t="s">
        <v>13</v>
      </c>
      <c r="C1086" t="s">
        <v>20</v>
      </c>
      <c r="D1086" t="s">
        <v>15</v>
      </c>
      <c r="E1086">
        <v>14</v>
      </c>
      <c r="F1086">
        <v>14</v>
      </c>
      <c r="G1086" t="s">
        <v>16</v>
      </c>
      <c r="H1086" t="s">
        <v>55</v>
      </c>
      <c r="I1086">
        <v>80000</v>
      </c>
      <c r="K1086">
        <v>30</v>
      </c>
      <c r="L1086" t="s">
        <v>18</v>
      </c>
      <c r="M1086" t="s">
        <v>19</v>
      </c>
    </row>
    <row r="1087" spans="1:13" x14ac:dyDescent="0.3">
      <c r="A1087">
        <v>40</v>
      </c>
      <c r="B1087" t="s">
        <v>33</v>
      </c>
      <c r="C1087" t="s">
        <v>20</v>
      </c>
      <c r="D1087" t="s">
        <v>15</v>
      </c>
      <c r="E1087">
        <v>1.5</v>
      </c>
      <c r="F1087">
        <v>1.5</v>
      </c>
      <c r="G1087" t="s">
        <v>26</v>
      </c>
      <c r="H1087" t="s">
        <v>55</v>
      </c>
      <c r="I1087">
        <v>50000</v>
      </c>
      <c r="K1087">
        <v>30</v>
      </c>
      <c r="L1087" t="s">
        <v>18</v>
      </c>
      <c r="M1087" t="s">
        <v>19</v>
      </c>
    </row>
    <row r="1088" spans="1:13" x14ac:dyDescent="0.3">
      <c r="A1088">
        <v>31</v>
      </c>
      <c r="B1088" t="s">
        <v>13</v>
      </c>
      <c r="C1088" t="s">
        <v>14</v>
      </c>
      <c r="D1088" t="s">
        <v>15</v>
      </c>
      <c r="E1088">
        <v>3</v>
      </c>
      <c r="F1088">
        <v>3</v>
      </c>
      <c r="G1088" t="s">
        <v>28</v>
      </c>
      <c r="H1088" t="s">
        <v>55</v>
      </c>
      <c r="I1088">
        <v>63000</v>
      </c>
      <c r="J1088">
        <v>63909</v>
      </c>
      <c r="K1088">
        <v>30</v>
      </c>
      <c r="L1088" t="s">
        <v>36</v>
      </c>
      <c r="M1088" t="s">
        <v>19</v>
      </c>
    </row>
    <row r="1089" spans="1:13" x14ac:dyDescent="0.3">
      <c r="A1089">
        <v>27</v>
      </c>
      <c r="B1089" t="s">
        <v>33</v>
      </c>
      <c r="C1089" t="s">
        <v>20</v>
      </c>
      <c r="D1089" t="s">
        <v>21</v>
      </c>
      <c r="E1089">
        <v>5</v>
      </c>
      <c r="F1089">
        <v>2.5</v>
      </c>
      <c r="G1089" t="s">
        <v>28</v>
      </c>
      <c r="H1089" t="s">
        <v>40</v>
      </c>
      <c r="I1089">
        <v>65000</v>
      </c>
      <c r="J1089">
        <v>0</v>
      </c>
      <c r="K1089">
        <v>30</v>
      </c>
      <c r="L1089" t="s">
        <v>18</v>
      </c>
      <c r="M1089" t="s">
        <v>19</v>
      </c>
    </row>
    <row r="1090" spans="1:13" x14ac:dyDescent="0.3">
      <c r="A1090">
        <v>29</v>
      </c>
      <c r="B1090" t="s">
        <v>13</v>
      </c>
      <c r="C1090" t="s">
        <v>192</v>
      </c>
      <c r="D1090" t="s">
        <v>43</v>
      </c>
      <c r="E1090">
        <v>7</v>
      </c>
      <c r="F1090">
        <v>0</v>
      </c>
      <c r="G1090" t="s">
        <v>16</v>
      </c>
      <c r="H1090" t="s">
        <v>40</v>
      </c>
      <c r="I1090">
        <v>64000</v>
      </c>
      <c r="J1090">
        <v>1100</v>
      </c>
      <c r="K1090">
        <v>30</v>
      </c>
      <c r="L1090" t="s">
        <v>18</v>
      </c>
      <c r="M1090" t="s">
        <v>19</v>
      </c>
    </row>
    <row r="1091" spans="1:13" x14ac:dyDescent="0.3">
      <c r="A1091">
        <v>31</v>
      </c>
      <c r="B1091" t="s">
        <v>13</v>
      </c>
      <c r="C1091" t="s">
        <v>14</v>
      </c>
      <c r="D1091" t="s">
        <v>27</v>
      </c>
      <c r="E1091">
        <v>6</v>
      </c>
      <c r="F1091">
        <v>2</v>
      </c>
      <c r="G1091" t="s">
        <v>28</v>
      </c>
      <c r="H1091" t="s">
        <v>122</v>
      </c>
      <c r="I1091">
        <v>60000</v>
      </c>
      <c r="J1091">
        <v>2000</v>
      </c>
      <c r="K1091">
        <v>30</v>
      </c>
      <c r="L1091" t="s">
        <v>18</v>
      </c>
      <c r="M1091" t="s">
        <v>19</v>
      </c>
    </row>
    <row r="1092" spans="1:13" x14ac:dyDescent="0.3">
      <c r="A1092">
        <v>65</v>
      </c>
      <c r="B1092" t="s">
        <v>13</v>
      </c>
      <c r="C1092" t="s">
        <v>20</v>
      </c>
      <c r="D1092" t="s">
        <v>15</v>
      </c>
      <c r="E1092">
        <v>25</v>
      </c>
      <c r="F1092">
        <v>25</v>
      </c>
      <c r="G1092" t="s">
        <v>16</v>
      </c>
      <c r="H1092" t="s">
        <v>524</v>
      </c>
      <c r="I1092">
        <v>55000</v>
      </c>
      <c r="K1092">
        <v>30</v>
      </c>
      <c r="L1092" t="s">
        <v>36</v>
      </c>
      <c r="M1092" t="s">
        <v>19</v>
      </c>
    </row>
    <row r="1093" spans="1:13" x14ac:dyDescent="0.3">
      <c r="A1093">
        <v>25</v>
      </c>
      <c r="B1093" t="s">
        <v>33</v>
      </c>
      <c r="C1093" t="s">
        <v>288</v>
      </c>
      <c r="D1093" t="s">
        <v>289</v>
      </c>
      <c r="E1093">
        <v>3</v>
      </c>
      <c r="F1093">
        <v>3</v>
      </c>
      <c r="G1093" t="s">
        <v>26</v>
      </c>
      <c r="H1093" t="s">
        <v>50</v>
      </c>
      <c r="I1093">
        <v>23000</v>
      </c>
      <c r="J1093">
        <v>23000</v>
      </c>
      <c r="K1093">
        <v>30</v>
      </c>
      <c r="L1093" t="s">
        <v>18</v>
      </c>
      <c r="M1093" t="s">
        <v>19</v>
      </c>
    </row>
    <row r="1094" spans="1:13" x14ac:dyDescent="0.3">
      <c r="A1094">
        <v>38</v>
      </c>
      <c r="B1094" t="s">
        <v>13</v>
      </c>
      <c r="C1094" t="s">
        <v>14</v>
      </c>
      <c r="D1094" t="s">
        <v>81</v>
      </c>
      <c r="E1094">
        <v>10</v>
      </c>
      <c r="F1094">
        <v>3</v>
      </c>
      <c r="G1094" t="s">
        <v>24</v>
      </c>
      <c r="H1094" t="s">
        <v>50</v>
      </c>
      <c r="I1094">
        <v>92000</v>
      </c>
      <c r="J1094">
        <v>101</v>
      </c>
      <c r="K1094">
        <v>30</v>
      </c>
      <c r="L1094" t="s">
        <v>18</v>
      </c>
      <c r="M1094" t="s">
        <v>19</v>
      </c>
    </row>
    <row r="1095" spans="1:13" x14ac:dyDescent="0.3">
      <c r="A1095">
        <v>35</v>
      </c>
      <c r="B1095" t="s">
        <v>13</v>
      </c>
      <c r="C1095" t="s">
        <v>14</v>
      </c>
      <c r="D1095" t="s">
        <v>15</v>
      </c>
      <c r="E1095">
        <v>12</v>
      </c>
      <c r="F1095">
        <v>5</v>
      </c>
      <c r="G1095" t="s">
        <v>24</v>
      </c>
      <c r="H1095" t="s">
        <v>50</v>
      </c>
      <c r="I1095">
        <v>100000</v>
      </c>
      <c r="J1095">
        <v>10000</v>
      </c>
      <c r="K1095">
        <v>30</v>
      </c>
      <c r="L1095" t="s">
        <v>18</v>
      </c>
      <c r="M1095" t="s">
        <v>19</v>
      </c>
    </row>
    <row r="1096" spans="1:13" x14ac:dyDescent="0.3">
      <c r="A1096">
        <v>29</v>
      </c>
      <c r="B1096" t="s">
        <v>13</v>
      </c>
      <c r="C1096" t="s">
        <v>20</v>
      </c>
      <c r="D1096" t="s">
        <v>21</v>
      </c>
      <c r="E1096">
        <v>11</v>
      </c>
      <c r="F1096">
        <v>2</v>
      </c>
      <c r="G1096" t="s">
        <v>16</v>
      </c>
      <c r="H1096" t="s">
        <v>50</v>
      </c>
      <c r="I1096">
        <v>85000</v>
      </c>
      <c r="J1096">
        <v>4000</v>
      </c>
      <c r="K1096">
        <v>30</v>
      </c>
      <c r="L1096" t="s">
        <v>18</v>
      </c>
      <c r="M1096" t="s">
        <v>19</v>
      </c>
    </row>
    <row r="1097" spans="1:13" x14ac:dyDescent="0.3">
      <c r="A1097">
        <v>33</v>
      </c>
      <c r="B1097" t="s">
        <v>13</v>
      </c>
      <c r="C1097" t="s">
        <v>20</v>
      </c>
      <c r="D1097" t="s">
        <v>21</v>
      </c>
      <c r="E1097">
        <v>13</v>
      </c>
      <c r="F1097">
        <v>1.5</v>
      </c>
      <c r="G1097" t="s">
        <v>16</v>
      </c>
      <c r="H1097" t="s">
        <v>50</v>
      </c>
      <c r="I1097">
        <v>83000</v>
      </c>
      <c r="J1097">
        <v>0</v>
      </c>
      <c r="K1097">
        <v>30</v>
      </c>
      <c r="L1097" t="s">
        <v>18</v>
      </c>
      <c r="M1097" t="s">
        <v>19</v>
      </c>
    </row>
    <row r="1098" spans="1:13" x14ac:dyDescent="0.3">
      <c r="A1098">
        <v>40</v>
      </c>
      <c r="C1098" t="s">
        <v>20</v>
      </c>
      <c r="D1098" t="s">
        <v>21</v>
      </c>
      <c r="E1098">
        <v>13</v>
      </c>
      <c r="F1098">
        <v>13</v>
      </c>
      <c r="G1098" t="s">
        <v>16</v>
      </c>
      <c r="H1098" t="s">
        <v>50</v>
      </c>
      <c r="I1098">
        <v>72000</v>
      </c>
      <c r="K1098">
        <v>30</v>
      </c>
      <c r="L1098" t="s">
        <v>18</v>
      </c>
      <c r="M1098" t="s">
        <v>19</v>
      </c>
    </row>
    <row r="1099" spans="1:13" x14ac:dyDescent="0.3">
      <c r="A1099">
        <v>31</v>
      </c>
      <c r="B1099" t="s">
        <v>13</v>
      </c>
      <c r="C1099" t="s">
        <v>70</v>
      </c>
      <c r="D1099" t="s">
        <v>53</v>
      </c>
      <c r="E1099">
        <v>6</v>
      </c>
      <c r="F1099">
        <v>6</v>
      </c>
      <c r="G1099" t="s">
        <v>16</v>
      </c>
      <c r="H1099" t="s">
        <v>50</v>
      </c>
      <c r="I1099">
        <v>60000</v>
      </c>
      <c r="J1099">
        <v>15000</v>
      </c>
      <c r="K1099">
        <v>30</v>
      </c>
      <c r="L1099" t="s">
        <v>18</v>
      </c>
      <c r="M1099" t="s">
        <v>19</v>
      </c>
    </row>
    <row r="1100" spans="1:13" x14ac:dyDescent="0.3">
      <c r="A1100">
        <v>35</v>
      </c>
      <c r="B1100" t="s">
        <v>13</v>
      </c>
      <c r="C1100" t="s">
        <v>384</v>
      </c>
      <c r="D1100" t="s">
        <v>53</v>
      </c>
      <c r="E1100">
        <v>4</v>
      </c>
      <c r="F1100">
        <v>4</v>
      </c>
      <c r="G1100" t="s">
        <v>16</v>
      </c>
      <c r="H1100" t="s">
        <v>50</v>
      </c>
      <c r="I1100">
        <v>67000</v>
      </c>
      <c r="J1100">
        <v>5000</v>
      </c>
      <c r="K1100">
        <v>30</v>
      </c>
      <c r="L1100" t="s">
        <v>18</v>
      </c>
      <c r="M1100" t="s">
        <v>19</v>
      </c>
    </row>
    <row r="1101" spans="1:13" x14ac:dyDescent="0.3">
      <c r="A1101">
        <v>30</v>
      </c>
      <c r="B1101" t="s">
        <v>33</v>
      </c>
      <c r="C1101" t="s">
        <v>215</v>
      </c>
      <c r="D1101" t="s">
        <v>52</v>
      </c>
      <c r="E1101">
        <v>7</v>
      </c>
      <c r="F1101">
        <v>1</v>
      </c>
      <c r="G1101" t="s">
        <v>16</v>
      </c>
      <c r="H1101" t="s">
        <v>50</v>
      </c>
      <c r="I1101">
        <v>48000</v>
      </c>
      <c r="K1101">
        <v>30</v>
      </c>
      <c r="L1101" t="s">
        <v>18</v>
      </c>
      <c r="M1101" t="s">
        <v>19</v>
      </c>
    </row>
    <row r="1102" spans="1:13" x14ac:dyDescent="0.3">
      <c r="A1102">
        <v>30</v>
      </c>
      <c r="B1102" t="s">
        <v>13</v>
      </c>
      <c r="C1102" t="s">
        <v>20</v>
      </c>
      <c r="D1102" t="s">
        <v>52</v>
      </c>
      <c r="E1102">
        <v>8</v>
      </c>
      <c r="F1102">
        <v>3</v>
      </c>
      <c r="G1102" t="s">
        <v>16</v>
      </c>
      <c r="H1102" t="s">
        <v>50</v>
      </c>
      <c r="I1102">
        <v>68000</v>
      </c>
      <c r="K1102">
        <v>30</v>
      </c>
      <c r="L1102" t="s">
        <v>18</v>
      </c>
      <c r="M1102" t="s">
        <v>19</v>
      </c>
    </row>
    <row r="1103" spans="1:13" x14ac:dyDescent="0.3">
      <c r="A1103">
        <v>32</v>
      </c>
      <c r="B1103" t="s">
        <v>13</v>
      </c>
      <c r="C1103" t="s">
        <v>20</v>
      </c>
      <c r="D1103" t="s">
        <v>297</v>
      </c>
      <c r="E1103">
        <v>9</v>
      </c>
      <c r="F1103">
        <v>4</v>
      </c>
      <c r="G1103" t="s">
        <v>16</v>
      </c>
      <c r="H1103" t="s">
        <v>50</v>
      </c>
      <c r="I1103">
        <v>90000</v>
      </c>
      <c r="K1103">
        <v>30</v>
      </c>
      <c r="L1103" t="s">
        <v>18</v>
      </c>
      <c r="M1103" t="s">
        <v>19</v>
      </c>
    </row>
    <row r="1104" spans="1:13" x14ac:dyDescent="0.3">
      <c r="A1104">
        <v>66</v>
      </c>
      <c r="B1104" t="s">
        <v>13</v>
      </c>
      <c r="C1104" t="s">
        <v>14</v>
      </c>
      <c r="D1104" t="s">
        <v>15</v>
      </c>
      <c r="E1104">
        <v>40</v>
      </c>
      <c r="F1104">
        <v>4</v>
      </c>
      <c r="G1104" t="s">
        <v>24</v>
      </c>
      <c r="H1104" t="s">
        <v>22</v>
      </c>
      <c r="I1104">
        <v>70000</v>
      </c>
      <c r="K1104">
        <v>30</v>
      </c>
      <c r="L1104" t="s">
        <v>36</v>
      </c>
      <c r="M1104" t="s">
        <v>19</v>
      </c>
    </row>
    <row r="1105" spans="1:13" x14ac:dyDescent="0.3">
      <c r="A1105">
        <v>26</v>
      </c>
      <c r="B1105" t="s">
        <v>13</v>
      </c>
      <c r="C1105" t="s">
        <v>14</v>
      </c>
      <c r="D1105" t="s">
        <v>15</v>
      </c>
      <c r="E1105">
        <v>5</v>
      </c>
      <c r="F1105">
        <v>3</v>
      </c>
      <c r="G1105" t="s">
        <v>16</v>
      </c>
      <c r="H1105" t="s">
        <v>17</v>
      </c>
      <c r="I1105">
        <v>80000</v>
      </c>
      <c r="J1105">
        <v>5000</v>
      </c>
      <c r="K1105">
        <v>30</v>
      </c>
      <c r="L1105" t="s">
        <v>18</v>
      </c>
      <c r="M1105" t="s">
        <v>19</v>
      </c>
    </row>
    <row r="1106" spans="1:13" x14ac:dyDescent="0.3">
      <c r="A1106">
        <v>26</v>
      </c>
      <c r="B1106" t="s">
        <v>13</v>
      </c>
      <c r="C1106" t="s">
        <v>20</v>
      </c>
      <c r="D1106" t="s">
        <v>27</v>
      </c>
      <c r="E1106">
        <v>2</v>
      </c>
      <c r="F1106">
        <v>2</v>
      </c>
      <c r="G1106" t="s">
        <v>28</v>
      </c>
      <c r="H1106" t="s">
        <v>98</v>
      </c>
      <c r="I1106">
        <v>65000</v>
      </c>
      <c r="J1106">
        <v>6500</v>
      </c>
      <c r="K1106">
        <v>30</v>
      </c>
      <c r="L1106" t="s">
        <v>18</v>
      </c>
      <c r="M1106" t="s">
        <v>19</v>
      </c>
    </row>
    <row r="1107" spans="1:13" x14ac:dyDescent="0.3">
      <c r="A1107">
        <v>32</v>
      </c>
      <c r="B1107" t="s">
        <v>33</v>
      </c>
      <c r="C1107" t="s">
        <v>20</v>
      </c>
      <c r="D1107" t="s">
        <v>41</v>
      </c>
      <c r="E1107">
        <v>10</v>
      </c>
      <c r="F1107">
        <v>4.5</v>
      </c>
      <c r="G1107" t="s">
        <v>16</v>
      </c>
      <c r="I1107">
        <v>60000</v>
      </c>
      <c r="J1107">
        <v>6000</v>
      </c>
      <c r="K1107">
        <v>30</v>
      </c>
      <c r="L1107" t="s">
        <v>18</v>
      </c>
      <c r="M1107" t="s">
        <v>19</v>
      </c>
    </row>
    <row r="1108" spans="1:13" x14ac:dyDescent="0.3">
      <c r="A1108">
        <v>45</v>
      </c>
      <c r="B1108" t="s">
        <v>13</v>
      </c>
      <c r="C1108" t="s">
        <v>14</v>
      </c>
      <c r="D1108" t="s">
        <v>15</v>
      </c>
      <c r="E1108">
        <v>20</v>
      </c>
      <c r="F1108">
        <v>20</v>
      </c>
      <c r="G1108" t="s">
        <v>405</v>
      </c>
      <c r="H1108" t="s">
        <v>58</v>
      </c>
      <c r="I1108">
        <v>200000</v>
      </c>
      <c r="J1108">
        <v>15000</v>
      </c>
      <c r="K1108">
        <v>30</v>
      </c>
      <c r="L1108" t="s">
        <v>36</v>
      </c>
      <c r="M1108" t="s">
        <v>67</v>
      </c>
    </row>
    <row r="1109" spans="1:13" x14ac:dyDescent="0.3">
      <c r="A1109">
        <v>26</v>
      </c>
      <c r="B1109" t="s">
        <v>33</v>
      </c>
      <c r="C1109" t="s">
        <v>187</v>
      </c>
      <c r="D1109" t="s">
        <v>280</v>
      </c>
      <c r="E1109">
        <v>5</v>
      </c>
      <c r="F1109">
        <v>5</v>
      </c>
      <c r="G1109" t="s">
        <v>28</v>
      </c>
      <c r="H1109" t="s">
        <v>166</v>
      </c>
      <c r="I1109">
        <v>65000</v>
      </c>
      <c r="J1109">
        <v>77000</v>
      </c>
      <c r="K1109">
        <v>30</v>
      </c>
      <c r="L1109" t="s">
        <v>36</v>
      </c>
      <c r="M1109" t="s">
        <v>67</v>
      </c>
    </row>
    <row r="1110" spans="1:13" x14ac:dyDescent="0.3">
      <c r="A1110">
        <v>27</v>
      </c>
      <c r="B1110" t="s">
        <v>13</v>
      </c>
      <c r="C1110" t="s">
        <v>156</v>
      </c>
      <c r="D1110" t="s">
        <v>15</v>
      </c>
      <c r="E1110">
        <v>4</v>
      </c>
      <c r="F1110">
        <v>4</v>
      </c>
      <c r="G1110" t="s">
        <v>26</v>
      </c>
      <c r="H1110" t="s">
        <v>64</v>
      </c>
      <c r="I1110">
        <v>46000</v>
      </c>
      <c r="J1110">
        <v>2000</v>
      </c>
      <c r="K1110">
        <v>30</v>
      </c>
      <c r="L1110" t="s">
        <v>36</v>
      </c>
      <c r="M1110" t="s">
        <v>67</v>
      </c>
    </row>
    <row r="1111" spans="1:13" x14ac:dyDescent="0.3">
      <c r="A1111">
        <v>38</v>
      </c>
      <c r="B1111" t="s">
        <v>13</v>
      </c>
      <c r="C1111" t="s">
        <v>84</v>
      </c>
      <c r="D1111" t="s">
        <v>15</v>
      </c>
      <c r="E1111">
        <v>15</v>
      </c>
      <c r="F1111">
        <v>5</v>
      </c>
      <c r="G1111" t="s">
        <v>16</v>
      </c>
      <c r="H1111" t="s">
        <v>64</v>
      </c>
      <c r="I1111">
        <v>59000</v>
      </c>
      <c r="J1111">
        <v>7000</v>
      </c>
      <c r="K1111">
        <v>30</v>
      </c>
      <c r="L1111" t="s">
        <v>18</v>
      </c>
      <c r="M1111" t="s">
        <v>67</v>
      </c>
    </row>
    <row r="1112" spans="1:13" x14ac:dyDescent="0.3">
      <c r="A1112">
        <v>47</v>
      </c>
      <c r="B1112" t="s">
        <v>13</v>
      </c>
      <c r="C1112" t="s">
        <v>34</v>
      </c>
      <c r="D1112" t="s">
        <v>15</v>
      </c>
      <c r="E1112">
        <v>22</v>
      </c>
      <c r="F1112">
        <v>10</v>
      </c>
      <c r="G1112" t="s">
        <v>16</v>
      </c>
      <c r="H1112" t="s">
        <v>37</v>
      </c>
      <c r="I1112">
        <v>46000</v>
      </c>
      <c r="J1112">
        <v>46000</v>
      </c>
      <c r="K1112">
        <v>30</v>
      </c>
      <c r="L1112" t="s">
        <v>18</v>
      </c>
      <c r="M1112" t="s">
        <v>67</v>
      </c>
    </row>
    <row r="1113" spans="1:13" x14ac:dyDescent="0.3">
      <c r="A1113">
        <v>23</v>
      </c>
      <c r="B1113" t="s">
        <v>13</v>
      </c>
      <c r="C1113" t="s">
        <v>215</v>
      </c>
      <c r="D1113" t="s">
        <v>25</v>
      </c>
      <c r="E1113">
        <v>5</v>
      </c>
      <c r="F1113">
        <v>1.5</v>
      </c>
      <c r="G1113" t="s">
        <v>16</v>
      </c>
      <c r="H1113" t="s">
        <v>55</v>
      </c>
      <c r="I1113">
        <v>45600</v>
      </c>
      <c r="J1113">
        <v>45600</v>
      </c>
      <c r="K1113">
        <v>30</v>
      </c>
      <c r="L1113" t="s">
        <v>18</v>
      </c>
      <c r="M1113" t="s">
        <v>67</v>
      </c>
    </row>
    <row r="1114" spans="1:13" x14ac:dyDescent="0.3">
      <c r="A1114">
        <v>41</v>
      </c>
      <c r="B1114" t="s">
        <v>13</v>
      </c>
      <c r="C1114" t="s">
        <v>20</v>
      </c>
      <c r="D1114" t="s">
        <v>15</v>
      </c>
      <c r="E1114">
        <v>18</v>
      </c>
      <c r="F1114">
        <v>3</v>
      </c>
      <c r="G1114" t="s">
        <v>16</v>
      </c>
      <c r="H1114" t="s">
        <v>55</v>
      </c>
      <c r="I1114">
        <v>120000</v>
      </c>
      <c r="K1114">
        <v>30</v>
      </c>
      <c r="L1114" t="s">
        <v>18</v>
      </c>
      <c r="M1114" t="s">
        <v>67</v>
      </c>
    </row>
    <row r="1115" spans="1:13" x14ac:dyDescent="0.3">
      <c r="A1115">
        <v>38</v>
      </c>
      <c r="B1115" t="s">
        <v>13</v>
      </c>
      <c r="C1115" t="s">
        <v>220</v>
      </c>
      <c r="D1115" t="s">
        <v>21</v>
      </c>
      <c r="E1115">
        <v>4</v>
      </c>
      <c r="F1115">
        <v>2</v>
      </c>
      <c r="G1115" t="s">
        <v>28</v>
      </c>
      <c r="H1115" t="s">
        <v>31</v>
      </c>
      <c r="I1115">
        <v>43000</v>
      </c>
      <c r="J1115">
        <v>0</v>
      </c>
      <c r="K1115">
        <v>30</v>
      </c>
      <c r="L1115" t="s">
        <v>18</v>
      </c>
      <c r="M1115" t="s">
        <v>67</v>
      </c>
    </row>
    <row r="1116" spans="1:13" x14ac:dyDescent="0.3">
      <c r="A1116">
        <v>39</v>
      </c>
      <c r="B1116" t="s">
        <v>13</v>
      </c>
      <c r="C1116" t="s">
        <v>84</v>
      </c>
      <c r="D1116" t="s">
        <v>291</v>
      </c>
      <c r="E1116">
        <v>12</v>
      </c>
      <c r="F1116">
        <v>12</v>
      </c>
      <c r="G1116" t="s">
        <v>62</v>
      </c>
      <c r="H1116" t="s">
        <v>31</v>
      </c>
      <c r="I1116">
        <v>75000</v>
      </c>
      <c r="J1116">
        <v>75000</v>
      </c>
      <c r="K1116">
        <v>30</v>
      </c>
      <c r="L1116" t="s">
        <v>36</v>
      </c>
      <c r="M1116" t="s">
        <v>67</v>
      </c>
    </row>
    <row r="1117" spans="1:13" x14ac:dyDescent="0.3">
      <c r="A1117">
        <v>34</v>
      </c>
      <c r="B1117" t="s">
        <v>33</v>
      </c>
      <c r="C1117" t="s">
        <v>20</v>
      </c>
      <c r="D1117" t="s">
        <v>38</v>
      </c>
      <c r="E1117">
        <v>10</v>
      </c>
      <c r="F1117">
        <v>6</v>
      </c>
      <c r="G1117" t="s">
        <v>16</v>
      </c>
      <c r="H1117" t="s">
        <v>525</v>
      </c>
      <c r="I1117">
        <v>45000</v>
      </c>
      <c r="K1117">
        <v>30</v>
      </c>
      <c r="L1117" t="s">
        <v>36</v>
      </c>
      <c r="M1117" t="s">
        <v>67</v>
      </c>
    </row>
    <row r="1118" spans="1:13" x14ac:dyDescent="0.3">
      <c r="A1118">
        <v>27</v>
      </c>
      <c r="B1118" t="s">
        <v>13</v>
      </c>
      <c r="C1118" t="s">
        <v>34</v>
      </c>
      <c r="D1118" t="s">
        <v>21</v>
      </c>
      <c r="E1118">
        <v>0</v>
      </c>
      <c r="F1118">
        <v>0</v>
      </c>
      <c r="G1118" t="s">
        <v>26</v>
      </c>
      <c r="H1118" t="s">
        <v>50</v>
      </c>
      <c r="I1118">
        <v>50000</v>
      </c>
      <c r="J1118">
        <v>5000</v>
      </c>
      <c r="K1118">
        <v>30</v>
      </c>
      <c r="L1118" t="s">
        <v>18</v>
      </c>
      <c r="M1118" t="s">
        <v>67</v>
      </c>
    </row>
    <row r="1119" spans="1:13" x14ac:dyDescent="0.3">
      <c r="A1119">
        <v>39</v>
      </c>
      <c r="B1119" t="s">
        <v>33</v>
      </c>
      <c r="C1119" t="s">
        <v>20</v>
      </c>
      <c r="D1119" t="s">
        <v>53</v>
      </c>
      <c r="E1119">
        <v>2.5</v>
      </c>
      <c r="F1119">
        <v>2</v>
      </c>
      <c r="G1119" t="s">
        <v>26</v>
      </c>
      <c r="H1119" t="s">
        <v>50</v>
      </c>
      <c r="I1119">
        <v>60000</v>
      </c>
      <c r="J1119">
        <v>60000</v>
      </c>
      <c r="K1119">
        <v>30</v>
      </c>
      <c r="L1119" t="s">
        <v>18</v>
      </c>
      <c r="M1119" t="s">
        <v>67</v>
      </c>
    </row>
    <row r="1120" spans="1:13" x14ac:dyDescent="0.3">
      <c r="A1120">
        <v>25</v>
      </c>
      <c r="B1120" t="s">
        <v>13</v>
      </c>
      <c r="C1120" t="s">
        <v>303</v>
      </c>
      <c r="D1120" t="s">
        <v>53</v>
      </c>
      <c r="E1120">
        <v>1</v>
      </c>
      <c r="G1120" t="s">
        <v>26</v>
      </c>
      <c r="H1120" t="s">
        <v>50</v>
      </c>
      <c r="I1120">
        <v>42000</v>
      </c>
      <c r="J1120">
        <v>50000</v>
      </c>
      <c r="K1120">
        <v>30</v>
      </c>
      <c r="L1120" t="s">
        <v>18</v>
      </c>
      <c r="M1120" t="s">
        <v>67</v>
      </c>
    </row>
    <row r="1121" spans="1:13" x14ac:dyDescent="0.3">
      <c r="A1121">
        <v>30</v>
      </c>
      <c r="B1121" t="s">
        <v>13</v>
      </c>
      <c r="C1121" t="s">
        <v>292</v>
      </c>
      <c r="D1121" t="s">
        <v>15</v>
      </c>
      <c r="E1121">
        <v>5</v>
      </c>
      <c r="F1121">
        <v>3</v>
      </c>
      <c r="G1121" t="s">
        <v>28</v>
      </c>
      <c r="H1121" t="s">
        <v>50</v>
      </c>
      <c r="I1121">
        <v>45000</v>
      </c>
      <c r="J1121">
        <v>0</v>
      </c>
      <c r="K1121">
        <v>30</v>
      </c>
      <c r="L1121" t="s">
        <v>18</v>
      </c>
      <c r="M1121" t="s">
        <v>67</v>
      </c>
    </row>
    <row r="1122" spans="1:13" x14ac:dyDescent="0.3">
      <c r="A1122">
        <v>48</v>
      </c>
      <c r="B1122" t="s">
        <v>13</v>
      </c>
      <c r="C1122" t="s">
        <v>336</v>
      </c>
      <c r="D1122" t="s">
        <v>27</v>
      </c>
      <c r="E1122">
        <v>15</v>
      </c>
      <c r="F1122">
        <v>0</v>
      </c>
      <c r="G1122" t="s">
        <v>16</v>
      </c>
      <c r="H1122" t="s">
        <v>50</v>
      </c>
      <c r="I1122">
        <v>30000</v>
      </c>
      <c r="J1122">
        <v>0</v>
      </c>
      <c r="K1122">
        <v>30</v>
      </c>
      <c r="L1122" t="s">
        <v>18</v>
      </c>
      <c r="M1122" t="s">
        <v>67</v>
      </c>
    </row>
    <row r="1123" spans="1:13" x14ac:dyDescent="0.3">
      <c r="A1123">
        <v>29</v>
      </c>
      <c r="B1123" t="s">
        <v>33</v>
      </c>
      <c r="C1123" t="s">
        <v>20</v>
      </c>
      <c r="D1123" t="s">
        <v>53</v>
      </c>
      <c r="E1123">
        <v>2</v>
      </c>
      <c r="F1123">
        <v>2</v>
      </c>
      <c r="G1123" t="s">
        <v>26</v>
      </c>
      <c r="H1123" t="s">
        <v>124</v>
      </c>
      <c r="I1123">
        <v>52000</v>
      </c>
      <c r="J1123">
        <v>0</v>
      </c>
      <c r="K1123">
        <v>30</v>
      </c>
      <c r="L1123" t="s">
        <v>36</v>
      </c>
      <c r="M1123" t="s">
        <v>67</v>
      </c>
    </row>
    <row r="1124" spans="1:13" x14ac:dyDescent="0.3">
      <c r="A1124">
        <v>37</v>
      </c>
      <c r="B1124" t="s">
        <v>13</v>
      </c>
      <c r="C1124" t="s">
        <v>14</v>
      </c>
      <c r="D1124" t="s">
        <v>15</v>
      </c>
      <c r="E1124">
        <v>14</v>
      </c>
      <c r="F1124">
        <v>6</v>
      </c>
      <c r="G1124" t="s">
        <v>62</v>
      </c>
      <c r="H1124" t="s">
        <v>17</v>
      </c>
      <c r="I1124">
        <v>84000</v>
      </c>
      <c r="J1124">
        <v>84000</v>
      </c>
      <c r="K1124">
        <v>30</v>
      </c>
      <c r="L1124" t="s">
        <v>18</v>
      </c>
      <c r="M1124" t="s">
        <v>67</v>
      </c>
    </row>
    <row r="1125" spans="1:13" x14ac:dyDescent="0.3">
      <c r="A1125">
        <v>30</v>
      </c>
      <c r="B1125" t="s">
        <v>13</v>
      </c>
      <c r="C1125" t="s">
        <v>84</v>
      </c>
      <c r="D1125" t="s">
        <v>506</v>
      </c>
      <c r="E1125">
        <v>5</v>
      </c>
      <c r="F1125">
        <v>5</v>
      </c>
      <c r="G1125" t="s">
        <v>28</v>
      </c>
      <c r="I1125">
        <v>69000</v>
      </c>
      <c r="J1125">
        <v>5000</v>
      </c>
      <c r="K1125">
        <v>30</v>
      </c>
      <c r="L1125" t="s">
        <v>36</v>
      </c>
      <c r="M1125" t="s">
        <v>67</v>
      </c>
    </row>
    <row r="1126" spans="1:13" x14ac:dyDescent="0.3">
      <c r="A1126">
        <v>34</v>
      </c>
      <c r="B1126" t="s">
        <v>13</v>
      </c>
      <c r="C1126" t="s">
        <v>292</v>
      </c>
      <c r="D1126" t="s">
        <v>60</v>
      </c>
      <c r="E1126">
        <v>12</v>
      </c>
      <c r="F1126">
        <v>3</v>
      </c>
      <c r="G1126" t="s">
        <v>16</v>
      </c>
      <c r="I1126">
        <v>56000</v>
      </c>
      <c r="J1126">
        <v>0</v>
      </c>
      <c r="K1126">
        <v>30</v>
      </c>
      <c r="L1126" t="s">
        <v>18</v>
      </c>
      <c r="M1126" t="s">
        <v>67</v>
      </c>
    </row>
    <row r="1127" spans="1:13" x14ac:dyDescent="0.3">
      <c r="A1127">
        <v>37</v>
      </c>
      <c r="B1127" t="s">
        <v>13</v>
      </c>
      <c r="C1127" t="s">
        <v>220</v>
      </c>
      <c r="D1127" t="s">
        <v>21</v>
      </c>
      <c r="G1127" t="s">
        <v>16</v>
      </c>
      <c r="H1127" t="s">
        <v>64</v>
      </c>
      <c r="I1127">
        <v>70000</v>
      </c>
      <c r="K1127">
        <v>30</v>
      </c>
    </row>
    <row r="1128" spans="1:13" x14ac:dyDescent="0.3">
      <c r="B1128" t="s">
        <v>13</v>
      </c>
      <c r="C1128" t="s">
        <v>34</v>
      </c>
      <c r="D1128" t="s">
        <v>15</v>
      </c>
      <c r="E1128">
        <v>12</v>
      </c>
      <c r="F1128">
        <v>12</v>
      </c>
      <c r="G1128" t="s">
        <v>16</v>
      </c>
      <c r="H1128" t="s">
        <v>32</v>
      </c>
      <c r="I1128">
        <v>80000</v>
      </c>
      <c r="K1128">
        <v>30</v>
      </c>
      <c r="L1128" t="s">
        <v>36</v>
      </c>
    </row>
    <row r="1129" spans="1:13" x14ac:dyDescent="0.3">
      <c r="A1129">
        <v>27</v>
      </c>
      <c r="B1129" t="s">
        <v>13</v>
      </c>
      <c r="C1129" t="s">
        <v>20</v>
      </c>
      <c r="D1129" t="s">
        <v>15</v>
      </c>
      <c r="E1129">
        <v>2</v>
      </c>
      <c r="F1129">
        <v>1</v>
      </c>
      <c r="G1129" t="s">
        <v>24</v>
      </c>
      <c r="H1129" t="s">
        <v>264</v>
      </c>
      <c r="I1129">
        <v>90000</v>
      </c>
      <c r="J1129">
        <v>7000</v>
      </c>
      <c r="K1129">
        <v>31</v>
      </c>
      <c r="L1129" t="s">
        <v>18</v>
      </c>
      <c r="M1129" t="s">
        <v>30</v>
      </c>
    </row>
    <row r="1130" spans="1:13" x14ac:dyDescent="0.3">
      <c r="A1130">
        <v>28</v>
      </c>
      <c r="B1130" t="s">
        <v>33</v>
      </c>
      <c r="C1130" t="s">
        <v>199</v>
      </c>
      <c r="D1130" t="s">
        <v>250</v>
      </c>
      <c r="E1130">
        <v>10</v>
      </c>
      <c r="F1130">
        <v>3</v>
      </c>
      <c r="G1130" t="s">
        <v>16</v>
      </c>
      <c r="H1130" t="s">
        <v>251</v>
      </c>
      <c r="I1130">
        <v>86000</v>
      </c>
      <c r="J1130">
        <v>30000</v>
      </c>
      <c r="K1130">
        <v>31</v>
      </c>
      <c r="L1130" t="s">
        <v>18</v>
      </c>
      <c r="M1130" t="s">
        <v>30</v>
      </c>
    </row>
    <row r="1131" spans="1:13" x14ac:dyDescent="0.3">
      <c r="A1131">
        <v>35</v>
      </c>
      <c r="B1131" t="s">
        <v>33</v>
      </c>
      <c r="C1131" t="s">
        <v>20</v>
      </c>
      <c r="D1131" t="s">
        <v>75</v>
      </c>
      <c r="E1131">
        <v>3</v>
      </c>
      <c r="F1131">
        <v>2</v>
      </c>
      <c r="G1131" t="s">
        <v>28</v>
      </c>
      <c r="H1131" t="s">
        <v>76</v>
      </c>
      <c r="I1131">
        <v>55000</v>
      </c>
      <c r="J1131">
        <v>3000</v>
      </c>
      <c r="K1131">
        <v>31</v>
      </c>
      <c r="L1131" t="s">
        <v>36</v>
      </c>
      <c r="M1131" t="s">
        <v>30</v>
      </c>
    </row>
    <row r="1132" spans="1:13" x14ac:dyDescent="0.3">
      <c r="A1132">
        <v>29</v>
      </c>
      <c r="B1132" t="s">
        <v>13</v>
      </c>
      <c r="C1132" t="s">
        <v>34</v>
      </c>
      <c r="D1132" t="s">
        <v>21</v>
      </c>
      <c r="E1132">
        <v>7</v>
      </c>
      <c r="F1132">
        <v>3</v>
      </c>
      <c r="G1132" t="s">
        <v>28</v>
      </c>
      <c r="H1132" t="s">
        <v>22</v>
      </c>
      <c r="I1132">
        <v>60350</v>
      </c>
      <c r="K1132">
        <v>31</v>
      </c>
      <c r="L1132" t="s">
        <v>18</v>
      </c>
      <c r="M1132" t="s">
        <v>30</v>
      </c>
    </row>
    <row r="1133" spans="1:13" x14ac:dyDescent="0.3">
      <c r="A1133">
        <v>30</v>
      </c>
      <c r="B1133" t="s">
        <v>33</v>
      </c>
      <c r="C1133" t="s">
        <v>20</v>
      </c>
      <c r="D1133" t="s">
        <v>52</v>
      </c>
      <c r="E1133">
        <v>8</v>
      </c>
      <c r="F1133">
        <v>6</v>
      </c>
      <c r="G1133" t="s">
        <v>16</v>
      </c>
      <c r="H1133" t="s">
        <v>55</v>
      </c>
      <c r="I1133">
        <v>70000</v>
      </c>
      <c r="K1133">
        <v>31</v>
      </c>
      <c r="L1133" t="s">
        <v>18</v>
      </c>
      <c r="M1133" t="s">
        <v>23</v>
      </c>
    </row>
    <row r="1134" spans="1:13" x14ac:dyDescent="0.3">
      <c r="A1134">
        <v>29</v>
      </c>
      <c r="B1134" t="s">
        <v>33</v>
      </c>
      <c r="C1134" t="s">
        <v>14</v>
      </c>
      <c r="D1134" t="s">
        <v>15</v>
      </c>
      <c r="E1134">
        <v>5</v>
      </c>
      <c r="F1134">
        <v>4</v>
      </c>
      <c r="G1134" t="s">
        <v>28</v>
      </c>
      <c r="H1134" t="s">
        <v>122</v>
      </c>
      <c r="I1134">
        <v>67000</v>
      </c>
      <c r="J1134">
        <v>5000</v>
      </c>
      <c r="K1134">
        <v>31</v>
      </c>
      <c r="L1134" t="s">
        <v>18</v>
      </c>
      <c r="M1134" t="s">
        <v>23</v>
      </c>
    </row>
    <row r="1135" spans="1:13" x14ac:dyDescent="0.3">
      <c r="A1135">
        <v>41</v>
      </c>
      <c r="B1135" t="s">
        <v>13</v>
      </c>
      <c r="C1135" t="s">
        <v>244</v>
      </c>
      <c r="D1135" t="s">
        <v>205</v>
      </c>
      <c r="E1135">
        <v>22</v>
      </c>
      <c r="F1135">
        <v>0</v>
      </c>
      <c r="G1135" t="s">
        <v>62</v>
      </c>
      <c r="H1135" t="s">
        <v>50</v>
      </c>
      <c r="I1135">
        <v>50000</v>
      </c>
      <c r="K1135">
        <v>31</v>
      </c>
      <c r="L1135" t="s">
        <v>238</v>
      </c>
      <c r="M1135" t="s">
        <v>19</v>
      </c>
    </row>
    <row r="1136" spans="1:13" x14ac:dyDescent="0.3">
      <c r="A1136">
        <v>35</v>
      </c>
      <c r="B1136" t="s">
        <v>13</v>
      </c>
      <c r="C1136" t="s">
        <v>20</v>
      </c>
      <c r="D1136" t="s">
        <v>21</v>
      </c>
      <c r="E1136">
        <v>13</v>
      </c>
      <c r="F1136">
        <v>5</v>
      </c>
      <c r="G1136" t="s">
        <v>16</v>
      </c>
      <c r="H1136" t="s">
        <v>122</v>
      </c>
      <c r="I1136">
        <v>90000</v>
      </c>
      <c r="K1136">
        <v>31</v>
      </c>
      <c r="L1136" t="s">
        <v>18</v>
      </c>
      <c r="M1136" t="s">
        <v>67</v>
      </c>
    </row>
    <row r="1137" spans="1:13" x14ac:dyDescent="0.3">
      <c r="A1137">
        <v>28</v>
      </c>
      <c r="B1137" t="s">
        <v>13</v>
      </c>
      <c r="C1137" t="s">
        <v>20</v>
      </c>
      <c r="D1137" t="s">
        <v>43</v>
      </c>
      <c r="E1137">
        <v>6</v>
      </c>
      <c r="F1137">
        <v>1</v>
      </c>
      <c r="G1137" t="s">
        <v>28</v>
      </c>
      <c r="H1137" t="s">
        <v>79</v>
      </c>
      <c r="I1137">
        <v>85000</v>
      </c>
      <c r="J1137">
        <v>10000</v>
      </c>
      <c r="K1137">
        <v>32</v>
      </c>
      <c r="L1137" t="s">
        <v>18</v>
      </c>
      <c r="M1137" t="s">
        <v>30</v>
      </c>
    </row>
    <row r="1138" spans="1:13" x14ac:dyDescent="0.3">
      <c r="A1138">
        <v>34</v>
      </c>
      <c r="B1138" t="s">
        <v>13</v>
      </c>
      <c r="C1138" t="s">
        <v>14</v>
      </c>
      <c r="E1138">
        <v>17</v>
      </c>
      <c r="F1138">
        <v>6</v>
      </c>
      <c r="G1138" t="s">
        <v>24</v>
      </c>
      <c r="H1138" t="s">
        <v>32</v>
      </c>
      <c r="I1138">
        <v>120000</v>
      </c>
      <c r="J1138">
        <v>20000</v>
      </c>
      <c r="K1138">
        <v>32</v>
      </c>
      <c r="L1138" t="s">
        <v>36</v>
      </c>
      <c r="M1138" t="s">
        <v>30</v>
      </c>
    </row>
    <row r="1139" spans="1:13" x14ac:dyDescent="0.3">
      <c r="A1139">
        <v>35</v>
      </c>
      <c r="B1139" t="s">
        <v>13</v>
      </c>
      <c r="C1139" t="s">
        <v>20</v>
      </c>
      <c r="D1139" t="s">
        <v>15</v>
      </c>
      <c r="E1139">
        <v>20</v>
      </c>
      <c r="F1139">
        <v>5</v>
      </c>
      <c r="G1139" t="s">
        <v>16</v>
      </c>
      <c r="H1139" t="s">
        <v>55</v>
      </c>
      <c r="I1139">
        <v>100000</v>
      </c>
      <c r="J1139">
        <v>0</v>
      </c>
      <c r="K1139">
        <v>32</v>
      </c>
      <c r="L1139" t="s">
        <v>18</v>
      </c>
      <c r="M1139" t="s">
        <v>30</v>
      </c>
    </row>
    <row r="1140" spans="1:13" x14ac:dyDescent="0.3">
      <c r="A1140">
        <v>34</v>
      </c>
      <c r="B1140" t="s">
        <v>13</v>
      </c>
      <c r="C1140" t="s">
        <v>20</v>
      </c>
      <c r="D1140" t="s">
        <v>15</v>
      </c>
      <c r="E1140">
        <v>13</v>
      </c>
      <c r="F1140">
        <v>4</v>
      </c>
      <c r="G1140" t="s">
        <v>24</v>
      </c>
      <c r="H1140" t="s">
        <v>40</v>
      </c>
      <c r="I1140">
        <v>85000</v>
      </c>
      <c r="K1140">
        <v>32</v>
      </c>
      <c r="L1140" t="s">
        <v>18</v>
      </c>
      <c r="M1140" t="s">
        <v>30</v>
      </c>
    </row>
    <row r="1141" spans="1:13" x14ac:dyDescent="0.3">
      <c r="A1141">
        <v>38</v>
      </c>
      <c r="B1141" t="s">
        <v>33</v>
      </c>
      <c r="C1141" t="s">
        <v>121</v>
      </c>
      <c r="D1141" t="s">
        <v>53</v>
      </c>
      <c r="E1141">
        <v>14</v>
      </c>
      <c r="G1141" t="s">
        <v>28</v>
      </c>
      <c r="H1141" t="s">
        <v>124</v>
      </c>
      <c r="I1141">
        <v>70000</v>
      </c>
      <c r="J1141">
        <v>75000</v>
      </c>
      <c r="K1141">
        <v>32</v>
      </c>
      <c r="L1141" t="s">
        <v>36</v>
      </c>
      <c r="M1141" t="s">
        <v>30</v>
      </c>
    </row>
    <row r="1142" spans="1:13" x14ac:dyDescent="0.3">
      <c r="A1142">
        <v>43</v>
      </c>
      <c r="B1142" t="s">
        <v>13</v>
      </c>
      <c r="C1142" t="s">
        <v>59</v>
      </c>
      <c r="D1142" t="s">
        <v>277</v>
      </c>
      <c r="E1142">
        <v>20</v>
      </c>
      <c r="F1142">
        <v>15</v>
      </c>
      <c r="G1142" t="s">
        <v>16</v>
      </c>
      <c r="H1142" t="s">
        <v>398</v>
      </c>
      <c r="I1142">
        <v>82000</v>
      </c>
      <c r="J1142">
        <v>12000</v>
      </c>
      <c r="K1142">
        <v>32</v>
      </c>
      <c r="L1142" t="s">
        <v>36</v>
      </c>
      <c r="M1142" t="s">
        <v>30</v>
      </c>
    </row>
    <row r="1143" spans="1:13" x14ac:dyDescent="0.3">
      <c r="A1143">
        <v>36</v>
      </c>
      <c r="B1143" t="s">
        <v>13</v>
      </c>
      <c r="C1143" t="s">
        <v>59</v>
      </c>
      <c r="D1143" t="s">
        <v>43</v>
      </c>
      <c r="E1143">
        <v>16</v>
      </c>
      <c r="F1143">
        <v>4</v>
      </c>
      <c r="G1143" t="s">
        <v>24</v>
      </c>
      <c r="H1143" t="s">
        <v>32</v>
      </c>
      <c r="I1143">
        <v>62500</v>
      </c>
      <c r="J1143">
        <v>0</v>
      </c>
      <c r="K1143">
        <v>32</v>
      </c>
      <c r="L1143" t="s">
        <v>18</v>
      </c>
      <c r="M1143" t="s">
        <v>19</v>
      </c>
    </row>
    <row r="1144" spans="1:13" x14ac:dyDescent="0.3">
      <c r="A1144">
        <v>33</v>
      </c>
      <c r="B1144" t="s">
        <v>13</v>
      </c>
      <c r="C1144" t="s">
        <v>20</v>
      </c>
      <c r="D1144" t="s">
        <v>381</v>
      </c>
      <c r="E1144">
        <v>3</v>
      </c>
      <c r="F1144">
        <v>3</v>
      </c>
      <c r="G1144" t="s">
        <v>62</v>
      </c>
      <c r="H1144" t="s">
        <v>50</v>
      </c>
      <c r="I1144">
        <v>100000</v>
      </c>
      <c r="J1144">
        <v>20000</v>
      </c>
      <c r="K1144">
        <v>32</v>
      </c>
      <c r="L1144" t="s">
        <v>36</v>
      </c>
      <c r="M1144" t="s">
        <v>19</v>
      </c>
    </row>
    <row r="1145" spans="1:13" x14ac:dyDescent="0.3">
      <c r="A1145">
        <v>30</v>
      </c>
      <c r="B1145" t="s">
        <v>13</v>
      </c>
      <c r="C1145" t="s">
        <v>215</v>
      </c>
      <c r="D1145" t="s">
        <v>21</v>
      </c>
      <c r="E1145">
        <v>7</v>
      </c>
      <c r="F1145">
        <v>2.5</v>
      </c>
      <c r="G1145" t="s">
        <v>16</v>
      </c>
      <c r="H1145" t="s">
        <v>37</v>
      </c>
      <c r="I1145">
        <v>65000</v>
      </c>
      <c r="J1145">
        <v>9000</v>
      </c>
      <c r="K1145">
        <v>33</v>
      </c>
      <c r="L1145" t="s">
        <v>18</v>
      </c>
      <c r="M1145" t="s">
        <v>30</v>
      </c>
    </row>
    <row r="1146" spans="1:13" x14ac:dyDescent="0.3">
      <c r="A1146">
        <v>32</v>
      </c>
      <c r="B1146" t="s">
        <v>33</v>
      </c>
      <c r="C1146" t="s">
        <v>20</v>
      </c>
      <c r="D1146" t="s">
        <v>52</v>
      </c>
      <c r="E1146">
        <v>10</v>
      </c>
      <c r="F1146">
        <v>4</v>
      </c>
      <c r="G1146" t="s">
        <v>24</v>
      </c>
      <c r="H1146" t="s">
        <v>32</v>
      </c>
      <c r="I1146">
        <v>65000</v>
      </c>
      <c r="J1146">
        <v>6000</v>
      </c>
      <c r="K1146">
        <v>33</v>
      </c>
      <c r="L1146" t="s">
        <v>36</v>
      </c>
      <c r="M1146" t="s">
        <v>30</v>
      </c>
    </row>
    <row r="1147" spans="1:13" x14ac:dyDescent="0.3">
      <c r="A1147">
        <v>41</v>
      </c>
      <c r="B1147" t="s">
        <v>13</v>
      </c>
      <c r="C1147" t="s">
        <v>14</v>
      </c>
      <c r="D1147" t="s">
        <v>142</v>
      </c>
      <c r="E1147">
        <v>19</v>
      </c>
      <c r="F1147">
        <v>5</v>
      </c>
      <c r="G1147" t="s">
        <v>16</v>
      </c>
      <c r="H1147" t="s">
        <v>143</v>
      </c>
      <c r="I1147">
        <v>123600</v>
      </c>
      <c r="K1147">
        <v>33</v>
      </c>
      <c r="L1147" t="s">
        <v>18</v>
      </c>
      <c r="M1147" t="s">
        <v>23</v>
      </c>
    </row>
    <row r="1148" spans="1:13" x14ac:dyDescent="0.3">
      <c r="A1148">
        <v>32</v>
      </c>
      <c r="B1148" t="s">
        <v>13</v>
      </c>
      <c r="C1148" t="s">
        <v>20</v>
      </c>
      <c r="D1148" t="s">
        <v>21</v>
      </c>
      <c r="E1148">
        <v>9</v>
      </c>
      <c r="F1148">
        <v>5</v>
      </c>
      <c r="G1148" t="s">
        <v>16</v>
      </c>
      <c r="H1148" t="s">
        <v>71</v>
      </c>
      <c r="I1148">
        <v>90000</v>
      </c>
      <c r="K1148">
        <v>34</v>
      </c>
      <c r="L1148" t="s">
        <v>18</v>
      </c>
      <c r="M1148" t="s">
        <v>23</v>
      </c>
    </row>
    <row r="1149" spans="1:13" x14ac:dyDescent="0.3">
      <c r="A1149">
        <v>41</v>
      </c>
      <c r="B1149" t="s">
        <v>13</v>
      </c>
      <c r="C1149" t="s">
        <v>20</v>
      </c>
      <c r="D1149" t="s">
        <v>27</v>
      </c>
      <c r="E1149">
        <v>20</v>
      </c>
      <c r="F1149">
        <v>14</v>
      </c>
      <c r="G1149" t="s">
        <v>16</v>
      </c>
      <c r="H1149" t="s">
        <v>176</v>
      </c>
      <c r="I1149">
        <v>58800</v>
      </c>
      <c r="J1149">
        <v>20700</v>
      </c>
      <c r="K1149">
        <v>35</v>
      </c>
      <c r="L1149" t="s">
        <v>36</v>
      </c>
      <c r="M1149" t="s">
        <v>30</v>
      </c>
    </row>
    <row r="1150" spans="1:13" x14ac:dyDescent="0.3">
      <c r="A1150">
        <v>31</v>
      </c>
      <c r="B1150" t="s">
        <v>13</v>
      </c>
      <c r="C1150" t="s">
        <v>70</v>
      </c>
      <c r="D1150" t="s">
        <v>41</v>
      </c>
      <c r="E1150">
        <v>8</v>
      </c>
      <c r="F1150">
        <v>5</v>
      </c>
      <c r="G1150" t="s">
        <v>24</v>
      </c>
      <c r="I1150">
        <v>110000</v>
      </c>
      <c r="J1150">
        <v>18000</v>
      </c>
      <c r="K1150">
        <v>35</v>
      </c>
      <c r="M1150" t="s">
        <v>30</v>
      </c>
    </row>
    <row r="1151" spans="1:13" x14ac:dyDescent="0.3">
      <c r="A1151">
        <v>35</v>
      </c>
      <c r="B1151" t="s">
        <v>13</v>
      </c>
      <c r="C1151" t="s">
        <v>84</v>
      </c>
      <c r="D1151" t="s">
        <v>15</v>
      </c>
      <c r="E1151">
        <v>14</v>
      </c>
      <c r="F1151">
        <v>7</v>
      </c>
      <c r="G1151" t="s">
        <v>16</v>
      </c>
      <c r="H1151" t="s">
        <v>37</v>
      </c>
      <c r="I1151">
        <v>72000</v>
      </c>
      <c r="J1151">
        <v>77000</v>
      </c>
      <c r="K1151">
        <v>35</v>
      </c>
      <c r="L1151" t="s">
        <v>18</v>
      </c>
      <c r="M1151" t="s">
        <v>23</v>
      </c>
    </row>
    <row r="1152" spans="1:13" x14ac:dyDescent="0.3">
      <c r="A1152">
        <v>42</v>
      </c>
      <c r="B1152" t="s">
        <v>13</v>
      </c>
      <c r="C1152" t="s">
        <v>20</v>
      </c>
      <c r="D1152" t="s">
        <v>25</v>
      </c>
      <c r="E1152">
        <v>18</v>
      </c>
      <c r="F1152">
        <v>5</v>
      </c>
      <c r="G1152" t="s">
        <v>16</v>
      </c>
      <c r="H1152" t="s">
        <v>247</v>
      </c>
      <c r="J1152">
        <v>95000</v>
      </c>
      <c r="K1152">
        <v>35</v>
      </c>
      <c r="L1152" t="s">
        <v>18</v>
      </c>
      <c r="M1152" t="s">
        <v>23</v>
      </c>
    </row>
    <row r="1153" spans="1:13" x14ac:dyDescent="0.3">
      <c r="A1153">
        <v>30</v>
      </c>
      <c r="B1153" t="s">
        <v>33</v>
      </c>
      <c r="C1153" t="s">
        <v>20</v>
      </c>
      <c r="D1153" t="s">
        <v>15</v>
      </c>
      <c r="E1153">
        <v>8</v>
      </c>
      <c r="F1153">
        <v>2</v>
      </c>
      <c r="G1153" t="s">
        <v>16</v>
      </c>
      <c r="H1153" t="s">
        <v>71</v>
      </c>
      <c r="I1153">
        <v>75000</v>
      </c>
      <c r="K1153">
        <v>35</v>
      </c>
      <c r="L1153" t="s">
        <v>18</v>
      </c>
      <c r="M1153" t="s">
        <v>23</v>
      </c>
    </row>
    <row r="1154" spans="1:13" x14ac:dyDescent="0.3">
      <c r="A1154">
        <v>34</v>
      </c>
      <c r="B1154" t="s">
        <v>13</v>
      </c>
      <c r="C1154" t="s">
        <v>20</v>
      </c>
      <c r="D1154" t="s">
        <v>15</v>
      </c>
      <c r="E1154">
        <v>12</v>
      </c>
      <c r="F1154">
        <v>2</v>
      </c>
      <c r="G1154" t="s">
        <v>24</v>
      </c>
      <c r="H1154" t="s">
        <v>58</v>
      </c>
      <c r="I1154">
        <v>78000</v>
      </c>
      <c r="J1154">
        <v>8000</v>
      </c>
      <c r="K1154">
        <v>36</v>
      </c>
      <c r="L1154" t="s">
        <v>36</v>
      </c>
      <c r="M1154" t="s">
        <v>30</v>
      </c>
    </row>
    <row r="1155" spans="1:13" x14ac:dyDescent="0.3">
      <c r="A1155">
        <v>37</v>
      </c>
      <c r="B1155" t="s">
        <v>13</v>
      </c>
      <c r="C1155" t="s">
        <v>20</v>
      </c>
      <c r="D1155" t="s">
        <v>136</v>
      </c>
      <c r="E1155">
        <v>15</v>
      </c>
      <c r="F1155">
        <v>3</v>
      </c>
      <c r="G1155" t="s">
        <v>16</v>
      </c>
      <c r="H1155" t="s">
        <v>91</v>
      </c>
      <c r="I1155">
        <v>72000</v>
      </c>
      <c r="J1155">
        <v>10000</v>
      </c>
      <c r="K1155">
        <v>36</v>
      </c>
      <c r="L1155" t="s">
        <v>18</v>
      </c>
      <c r="M1155" t="s">
        <v>30</v>
      </c>
    </row>
    <row r="1156" spans="1:13" x14ac:dyDescent="0.3">
      <c r="A1156">
        <v>28</v>
      </c>
      <c r="B1156" t="s">
        <v>13</v>
      </c>
      <c r="C1156" t="s">
        <v>244</v>
      </c>
      <c r="D1156" t="s">
        <v>81</v>
      </c>
      <c r="E1156">
        <v>2</v>
      </c>
      <c r="F1156">
        <v>0</v>
      </c>
      <c r="G1156" t="s">
        <v>28</v>
      </c>
      <c r="H1156" t="s">
        <v>32</v>
      </c>
      <c r="I1156">
        <v>36000</v>
      </c>
      <c r="J1156">
        <v>2400</v>
      </c>
      <c r="K1156">
        <v>36</v>
      </c>
      <c r="L1156" t="s">
        <v>18</v>
      </c>
      <c r="M1156" t="s">
        <v>30</v>
      </c>
    </row>
    <row r="1157" spans="1:13" x14ac:dyDescent="0.3">
      <c r="A1157">
        <v>38</v>
      </c>
      <c r="B1157" t="s">
        <v>13</v>
      </c>
      <c r="C1157" t="s">
        <v>14</v>
      </c>
      <c r="D1157" t="s">
        <v>15</v>
      </c>
      <c r="E1157">
        <v>16</v>
      </c>
      <c r="F1157">
        <v>5</v>
      </c>
      <c r="G1157" t="s">
        <v>16</v>
      </c>
      <c r="H1157" t="s">
        <v>58</v>
      </c>
      <c r="I1157">
        <v>90000</v>
      </c>
      <c r="K1157">
        <v>36</v>
      </c>
      <c r="L1157" t="s">
        <v>18</v>
      </c>
      <c r="M1157" t="s">
        <v>23</v>
      </c>
    </row>
    <row r="1158" spans="1:13" x14ac:dyDescent="0.3">
      <c r="A1158">
        <v>26</v>
      </c>
      <c r="B1158" t="s">
        <v>33</v>
      </c>
      <c r="C1158" t="s">
        <v>20</v>
      </c>
      <c r="D1158" t="s">
        <v>43</v>
      </c>
      <c r="E1158">
        <v>8</v>
      </c>
      <c r="F1158">
        <v>3</v>
      </c>
      <c r="G1158" t="s">
        <v>28</v>
      </c>
      <c r="H1158" t="s">
        <v>37</v>
      </c>
      <c r="I1158">
        <v>40000</v>
      </c>
      <c r="J1158">
        <v>2000</v>
      </c>
      <c r="K1158">
        <v>36</v>
      </c>
      <c r="L1158" t="s">
        <v>36</v>
      </c>
      <c r="M1158" t="s">
        <v>23</v>
      </c>
    </row>
    <row r="1159" spans="1:13" x14ac:dyDescent="0.3">
      <c r="A1159">
        <v>27</v>
      </c>
      <c r="B1159" t="s">
        <v>13</v>
      </c>
      <c r="C1159" t="s">
        <v>70</v>
      </c>
      <c r="D1159" t="s">
        <v>300</v>
      </c>
      <c r="E1159">
        <v>5</v>
      </c>
      <c r="F1159">
        <v>3</v>
      </c>
      <c r="G1159" t="s">
        <v>28</v>
      </c>
      <c r="I1159">
        <v>73000</v>
      </c>
      <c r="J1159">
        <v>4000</v>
      </c>
      <c r="K1159">
        <v>37</v>
      </c>
      <c r="L1159" t="s">
        <v>18</v>
      </c>
      <c r="M1159" t="s">
        <v>30</v>
      </c>
    </row>
    <row r="1160" spans="1:13" x14ac:dyDescent="0.3">
      <c r="A1160">
        <v>35</v>
      </c>
      <c r="B1160" t="s">
        <v>13</v>
      </c>
      <c r="C1160" t="s">
        <v>344</v>
      </c>
      <c r="D1160" t="s">
        <v>53</v>
      </c>
      <c r="E1160">
        <v>12</v>
      </c>
      <c r="F1160">
        <v>0</v>
      </c>
      <c r="G1160" t="s">
        <v>24</v>
      </c>
      <c r="H1160" t="s">
        <v>50</v>
      </c>
      <c r="I1160">
        <v>85000</v>
      </c>
      <c r="J1160">
        <v>95000</v>
      </c>
      <c r="K1160">
        <v>37.5</v>
      </c>
      <c r="L1160" t="s">
        <v>18</v>
      </c>
      <c r="M1160" t="s">
        <v>30</v>
      </c>
    </row>
    <row r="1161" spans="1:13" x14ac:dyDescent="0.3">
      <c r="A1161">
        <v>32</v>
      </c>
      <c r="B1161" t="s">
        <v>13</v>
      </c>
      <c r="C1161" t="s">
        <v>14</v>
      </c>
      <c r="D1161" t="s">
        <v>15</v>
      </c>
      <c r="E1161">
        <v>7</v>
      </c>
      <c r="F1161">
        <v>3</v>
      </c>
      <c r="G1161" t="s">
        <v>16</v>
      </c>
      <c r="H1161" t="s">
        <v>79</v>
      </c>
      <c r="I1161">
        <v>60000</v>
      </c>
      <c r="K1161">
        <v>38</v>
      </c>
      <c r="L1161" t="s">
        <v>18</v>
      </c>
      <c r="M1161" t="s">
        <v>19</v>
      </c>
    </row>
    <row r="1162" spans="1:13" x14ac:dyDescent="0.3">
      <c r="A1162">
        <v>41</v>
      </c>
      <c r="B1162" t="s">
        <v>13</v>
      </c>
      <c r="C1162" t="s">
        <v>14</v>
      </c>
      <c r="D1162" t="s">
        <v>15</v>
      </c>
      <c r="E1162">
        <v>15</v>
      </c>
      <c r="F1162">
        <v>15</v>
      </c>
      <c r="G1162" t="s">
        <v>16</v>
      </c>
      <c r="H1162" t="s">
        <v>40</v>
      </c>
      <c r="I1162">
        <v>99000</v>
      </c>
      <c r="J1162">
        <v>1200</v>
      </c>
      <c r="K1162">
        <v>39</v>
      </c>
      <c r="L1162" t="s">
        <v>36</v>
      </c>
      <c r="M1162" t="s">
        <v>30</v>
      </c>
    </row>
    <row r="1163" spans="1:13" x14ac:dyDescent="0.3">
      <c r="A1163">
        <v>34</v>
      </c>
      <c r="B1163" t="s">
        <v>13</v>
      </c>
      <c r="C1163" t="s">
        <v>20</v>
      </c>
      <c r="D1163" t="s">
        <v>25</v>
      </c>
      <c r="E1163">
        <v>10</v>
      </c>
      <c r="F1163">
        <v>3</v>
      </c>
      <c r="G1163" t="s">
        <v>16</v>
      </c>
      <c r="H1163" t="s">
        <v>141</v>
      </c>
      <c r="I1163">
        <v>68000</v>
      </c>
      <c r="J1163">
        <v>0</v>
      </c>
      <c r="K1163">
        <v>40</v>
      </c>
      <c r="L1163" t="s">
        <v>18</v>
      </c>
      <c r="M1163" s="97" t="s">
        <v>552</v>
      </c>
    </row>
    <row r="1164" spans="1:13" x14ac:dyDescent="0.3">
      <c r="A1164">
        <v>35</v>
      </c>
      <c r="B1164" t="s">
        <v>13</v>
      </c>
      <c r="C1164" t="s">
        <v>14</v>
      </c>
      <c r="D1164" t="s">
        <v>15</v>
      </c>
      <c r="E1164">
        <v>13</v>
      </c>
      <c r="F1164">
        <v>4</v>
      </c>
      <c r="G1164" t="s">
        <v>16</v>
      </c>
      <c r="H1164" t="s">
        <v>32</v>
      </c>
      <c r="I1164">
        <v>80000</v>
      </c>
      <c r="J1164">
        <v>1500</v>
      </c>
      <c r="K1164">
        <v>40</v>
      </c>
      <c r="L1164" t="s">
        <v>18</v>
      </c>
      <c r="M1164" t="s">
        <v>23</v>
      </c>
    </row>
    <row r="1165" spans="1:13" x14ac:dyDescent="0.3">
      <c r="A1165">
        <v>32</v>
      </c>
      <c r="B1165" t="s">
        <v>33</v>
      </c>
      <c r="C1165" t="s">
        <v>20</v>
      </c>
      <c r="D1165" t="s">
        <v>27</v>
      </c>
      <c r="E1165">
        <v>9</v>
      </c>
      <c r="F1165">
        <v>5</v>
      </c>
      <c r="G1165" t="s">
        <v>28</v>
      </c>
      <c r="H1165" t="s">
        <v>243</v>
      </c>
      <c r="I1165">
        <v>74000</v>
      </c>
      <c r="J1165">
        <v>10000</v>
      </c>
      <c r="K1165">
        <v>40</v>
      </c>
      <c r="L1165" t="s">
        <v>18</v>
      </c>
      <c r="M1165" t="s">
        <v>23</v>
      </c>
    </row>
    <row r="1166" spans="1:13" x14ac:dyDescent="0.3">
      <c r="A1166">
        <v>26</v>
      </c>
      <c r="B1166" t="s">
        <v>13</v>
      </c>
      <c r="C1166" t="s">
        <v>14</v>
      </c>
      <c r="D1166" t="s">
        <v>81</v>
      </c>
      <c r="E1166">
        <v>5</v>
      </c>
      <c r="F1166">
        <v>4</v>
      </c>
      <c r="G1166" t="s">
        <v>16</v>
      </c>
      <c r="H1166" t="s">
        <v>284</v>
      </c>
      <c r="I1166">
        <v>180000</v>
      </c>
      <c r="J1166">
        <v>0</v>
      </c>
      <c r="K1166">
        <v>40</v>
      </c>
      <c r="L1166" t="s">
        <v>36</v>
      </c>
      <c r="M1166" t="s">
        <v>67</v>
      </c>
    </row>
    <row r="1167" spans="1:13" x14ac:dyDescent="0.3">
      <c r="A1167">
        <v>22</v>
      </c>
      <c r="B1167" t="s">
        <v>155</v>
      </c>
      <c r="C1167" t="s">
        <v>84</v>
      </c>
      <c r="D1167" t="s">
        <v>52</v>
      </c>
      <c r="E1167">
        <v>1</v>
      </c>
      <c r="F1167">
        <v>1</v>
      </c>
      <c r="G1167" t="s">
        <v>62</v>
      </c>
      <c r="H1167" t="s">
        <v>285</v>
      </c>
      <c r="I1167">
        <v>159000</v>
      </c>
      <c r="J1167">
        <v>35000</v>
      </c>
      <c r="K1167">
        <v>45</v>
      </c>
      <c r="L1167" t="s">
        <v>36</v>
      </c>
      <c r="M1167" t="s">
        <v>30</v>
      </c>
    </row>
    <row r="1168" spans="1:13" x14ac:dyDescent="0.3">
      <c r="A1168">
        <v>35</v>
      </c>
      <c r="B1168" t="s">
        <v>13</v>
      </c>
      <c r="C1168" t="s">
        <v>20</v>
      </c>
      <c r="D1168" t="s">
        <v>15</v>
      </c>
      <c r="E1168">
        <v>2</v>
      </c>
      <c r="F1168">
        <v>2</v>
      </c>
      <c r="G1168" t="s">
        <v>28</v>
      </c>
      <c r="H1168" t="s">
        <v>50</v>
      </c>
      <c r="I1168">
        <v>50000</v>
      </c>
      <c r="J1168">
        <v>500</v>
      </c>
      <c r="K1168">
        <v>45</v>
      </c>
      <c r="L1168" t="s">
        <v>18</v>
      </c>
      <c r="M1168" t="s">
        <v>30</v>
      </c>
    </row>
    <row r="1169" spans="1:13" x14ac:dyDescent="0.3">
      <c r="A1169">
        <v>40</v>
      </c>
      <c r="B1169" t="s">
        <v>13</v>
      </c>
      <c r="C1169" t="s">
        <v>260</v>
      </c>
      <c r="D1169" t="s">
        <v>15</v>
      </c>
      <c r="E1169">
        <v>20</v>
      </c>
      <c r="F1169">
        <v>0</v>
      </c>
      <c r="G1169" t="s">
        <v>24</v>
      </c>
      <c r="H1169" t="s">
        <v>80</v>
      </c>
      <c r="I1169">
        <v>250000</v>
      </c>
      <c r="K1169">
        <v>45</v>
      </c>
      <c r="L1169" t="s">
        <v>18</v>
      </c>
      <c r="M1169" t="s">
        <v>30</v>
      </c>
    </row>
    <row r="1170" spans="1:13" x14ac:dyDescent="0.3">
      <c r="A1170">
        <v>30</v>
      </c>
      <c r="B1170" t="s">
        <v>13</v>
      </c>
      <c r="C1170" t="s">
        <v>20</v>
      </c>
      <c r="D1170" t="s">
        <v>43</v>
      </c>
      <c r="E1170">
        <v>8</v>
      </c>
      <c r="F1170">
        <v>5</v>
      </c>
      <c r="G1170" t="s">
        <v>16</v>
      </c>
      <c r="H1170" t="s">
        <v>80</v>
      </c>
      <c r="I1170">
        <v>60000</v>
      </c>
      <c r="K1170">
        <v>50</v>
      </c>
      <c r="L1170" t="s">
        <v>18</v>
      </c>
      <c r="M1170" t="s">
        <v>67</v>
      </c>
    </row>
    <row r="1171" spans="1:13" x14ac:dyDescent="0.3">
      <c r="A1171">
        <v>32</v>
      </c>
      <c r="B1171" t="s">
        <v>13</v>
      </c>
      <c r="C1171" t="s">
        <v>20</v>
      </c>
      <c r="D1171" t="s">
        <v>25</v>
      </c>
      <c r="E1171">
        <v>10</v>
      </c>
      <c r="F1171">
        <v>5</v>
      </c>
      <c r="G1171" t="s">
        <v>16</v>
      </c>
      <c r="H1171" t="s">
        <v>17</v>
      </c>
      <c r="I1171">
        <v>105000</v>
      </c>
      <c r="K1171">
        <v>60</v>
      </c>
      <c r="L1171" t="s">
        <v>18</v>
      </c>
      <c r="M1171" t="s">
        <v>23</v>
      </c>
    </row>
    <row r="1172" spans="1:13" x14ac:dyDescent="0.3">
      <c r="A1172">
        <v>29</v>
      </c>
      <c r="B1172" t="s">
        <v>33</v>
      </c>
      <c r="C1172" t="s">
        <v>84</v>
      </c>
      <c r="D1172" t="s">
        <v>81</v>
      </c>
      <c r="E1172">
        <v>1</v>
      </c>
      <c r="F1172">
        <v>1</v>
      </c>
      <c r="G1172" t="s">
        <v>28</v>
      </c>
      <c r="H1172" t="s">
        <v>522</v>
      </c>
      <c r="K1172">
        <v>99</v>
      </c>
      <c r="L1172" t="s">
        <v>18</v>
      </c>
      <c r="M1172" t="s">
        <v>67</v>
      </c>
    </row>
    <row r="1173" spans="1:13" x14ac:dyDescent="0.3">
      <c r="A1173">
        <v>32</v>
      </c>
      <c r="B1173" t="s">
        <v>13</v>
      </c>
      <c r="C1173" t="s">
        <v>20</v>
      </c>
      <c r="D1173" t="s">
        <v>69</v>
      </c>
      <c r="E1173">
        <v>9</v>
      </c>
      <c r="F1173">
        <v>5</v>
      </c>
      <c r="G1173" t="s">
        <v>24</v>
      </c>
      <c r="I1173">
        <v>95000</v>
      </c>
      <c r="J1173">
        <v>140000</v>
      </c>
      <c r="L1173" t="s">
        <v>18</v>
      </c>
      <c r="M1173" t="s">
        <v>30</v>
      </c>
    </row>
    <row r="1174" spans="1:13" x14ac:dyDescent="0.3">
      <c r="A1174">
        <v>35</v>
      </c>
      <c r="B1174" t="s">
        <v>33</v>
      </c>
      <c r="C1174" t="s">
        <v>20</v>
      </c>
      <c r="D1174" t="s">
        <v>38</v>
      </c>
      <c r="E1174">
        <v>15</v>
      </c>
      <c r="F1174">
        <v>1</v>
      </c>
      <c r="G1174" t="s">
        <v>28</v>
      </c>
      <c r="I1174">
        <v>53000</v>
      </c>
      <c r="J1174">
        <v>65000</v>
      </c>
      <c r="K1174" t="s">
        <v>190</v>
      </c>
      <c r="L1174" t="s">
        <v>18</v>
      </c>
      <c r="M1174" t="s">
        <v>30</v>
      </c>
    </row>
    <row r="1175" spans="1:13" x14ac:dyDescent="0.3">
      <c r="A1175">
        <v>30</v>
      </c>
      <c r="B1175" t="s">
        <v>13</v>
      </c>
      <c r="C1175" t="s">
        <v>20</v>
      </c>
      <c r="D1175" t="s">
        <v>15</v>
      </c>
      <c r="E1175">
        <v>8</v>
      </c>
      <c r="F1175">
        <v>2</v>
      </c>
      <c r="G1175" t="s">
        <v>16</v>
      </c>
      <c r="H1175" t="s">
        <v>55</v>
      </c>
      <c r="I1175">
        <v>60000</v>
      </c>
      <c r="J1175">
        <v>0</v>
      </c>
      <c r="K1175" t="s">
        <v>268</v>
      </c>
      <c r="L1175" t="s">
        <v>18</v>
      </c>
      <c r="M1175" t="s">
        <v>19</v>
      </c>
    </row>
    <row r="1176" spans="1:13" x14ac:dyDescent="0.3">
      <c r="A1176">
        <v>28</v>
      </c>
      <c r="B1176" t="s">
        <v>13</v>
      </c>
      <c r="C1176" t="s">
        <v>20</v>
      </c>
      <c r="D1176" t="s">
        <v>87</v>
      </c>
      <c r="E1176">
        <v>6</v>
      </c>
      <c r="F1176">
        <v>6</v>
      </c>
      <c r="G1176" t="s">
        <v>16</v>
      </c>
      <c r="H1176" t="s">
        <v>55</v>
      </c>
      <c r="I1176">
        <v>75000</v>
      </c>
      <c r="K1176" t="s">
        <v>296</v>
      </c>
      <c r="L1176" t="s">
        <v>18</v>
      </c>
      <c r="M1176" s="97" t="s">
        <v>552</v>
      </c>
    </row>
    <row r="1177" spans="1:13" x14ac:dyDescent="0.3">
      <c r="A1177">
        <v>45</v>
      </c>
      <c r="B1177" t="s">
        <v>13</v>
      </c>
      <c r="C1177" t="s">
        <v>336</v>
      </c>
      <c r="D1177" t="s">
        <v>53</v>
      </c>
      <c r="E1177">
        <v>2</v>
      </c>
      <c r="F1177">
        <v>0</v>
      </c>
      <c r="G1177" t="s">
        <v>16</v>
      </c>
      <c r="H1177" t="s">
        <v>50</v>
      </c>
      <c r="I1177">
        <v>42000</v>
      </c>
      <c r="K1177" t="s">
        <v>337</v>
      </c>
      <c r="L1177" t="s">
        <v>338</v>
      </c>
      <c r="M1177" t="s">
        <v>23</v>
      </c>
    </row>
    <row r="1178" spans="1:13" x14ac:dyDescent="0.3">
      <c r="A1178">
        <v>27</v>
      </c>
      <c r="B1178" t="s">
        <v>13</v>
      </c>
      <c r="C1178" t="s">
        <v>20</v>
      </c>
      <c r="D1178" t="s">
        <v>200</v>
      </c>
      <c r="E1178">
        <v>5</v>
      </c>
      <c r="F1178">
        <v>3.5</v>
      </c>
      <c r="G1178" t="s">
        <v>24</v>
      </c>
      <c r="H1178" t="s">
        <v>50</v>
      </c>
      <c r="I1178">
        <v>90000</v>
      </c>
      <c r="J1178">
        <v>1000</v>
      </c>
      <c r="K1178" t="s">
        <v>201</v>
      </c>
      <c r="L1178" t="s">
        <v>18</v>
      </c>
      <c r="M1178" s="97" t="s">
        <v>552</v>
      </c>
    </row>
    <row r="1179" spans="1:13" x14ac:dyDescent="0.3">
      <c r="A1179">
        <v>39</v>
      </c>
      <c r="B1179" t="s">
        <v>13</v>
      </c>
      <c r="C1179" t="s">
        <v>20</v>
      </c>
      <c r="D1179" t="s">
        <v>15</v>
      </c>
      <c r="E1179">
        <v>19</v>
      </c>
      <c r="F1179">
        <v>7</v>
      </c>
      <c r="G1179" t="s">
        <v>16</v>
      </c>
      <c r="H1179" t="s">
        <v>118</v>
      </c>
      <c r="I1179">
        <v>87000</v>
      </c>
      <c r="J1179">
        <v>97000</v>
      </c>
      <c r="K1179" t="s">
        <v>158</v>
      </c>
      <c r="L1179" t="s">
        <v>18</v>
      </c>
      <c r="M1179" s="97" t="s">
        <v>552</v>
      </c>
    </row>
    <row r="1180" spans="1:13" x14ac:dyDescent="0.3">
      <c r="B1180" t="s">
        <v>13</v>
      </c>
      <c r="C1180" t="s">
        <v>20</v>
      </c>
      <c r="D1180" t="s">
        <v>53</v>
      </c>
      <c r="E1180">
        <v>4</v>
      </c>
      <c r="F1180">
        <v>4</v>
      </c>
      <c r="G1180" t="s">
        <v>62</v>
      </c>
      <c r="H1180" t="s">
        <v>50</v>
      </c>
      <c r="I1180">
        <v>105000</v>
      </c>
      <c r="J1180">
        <v>0</v>
      </c>
      <c r="K1180" t="s">
        <v>158</v>
      </c>
      <c r="L1180" t="s">
        <v>36</v>
      </c>
      <c r="M1180" s="97" t="s">
        <v>552</v>
      </c>
    </row>
    <row r="1181" spans="1:13" x14ac:dyDescent="0.3">
      <c r="A1181">
        <v>38</v>
      </c>
      <c r="B1181" t="s">
        <v>13</v>
      </c>
      <c r="C1181" t="s">
        <v>20</v>
      </c>
      <c r="D1181" t="s">
        <v>15</v>
      </c>
      <c r="E1181">
        <v>12</v>
      </c>
      <c r="F1181">
        <v>6</v>
      </c>
      <c r="G1181" t="s">
        <v>16</v>
      </c>
      <c r="H1181" t="s">
        <v>32</v>
      </c>
      <c r="I1181">
        <v>92000</v>
      </c>
      <c r="J1181">
        <v>40000</v>
      </c>
      <c r="K1181" t="s">
        <v>328</v>
      </c>
      <c r="L1181" t="s">
        <v>18</v>
      </c>
      <c r="M1181" t="s">
        <v>30</v>
      </c>
    </row>
    <row r="1182" spans="1:13" x14ac:dyDescent="0.3">
      <c r="A1182">
        <v>36</v>
      </c>
      <c r="B1182" t="s">
        <v>33</v>
      </c>
      <c r="C1182" t="s">
        <v>20</v>
      </c>
      <c r="D1182" t="s">
        <v>157</v>
      </c>
      <c r="E1182">
        <v>11</v>
      </c>
      <c r="F1182">
        <v>4</v>
      </c>
      <c r="G1182" t="s">
        <v>16</v>
      </c>
      <c r="I1182">
        <v>70000</v>
      </c>
      <c r="J1182">
        <v>11000</v>
      </c>
      <c r="K1182" t="s">
        <v>158</v>
      </c>
      <c r="L1182" t="s">
        <v>18</v>
      </c>
      <c r="M1182" t="s">
        <v>30</v>
      </c>
    </row>
    <row r="1183" spans="1:13" x14ac:dyDescent="0.3">
      <c r="A1183">
        <v>31</v>
      </c>
      <c r="B1183" t="s">
        <v>13</v>
      </c>
      <c r="C1183" t="s">
        <v>14</v>
      </c>
      <c r="D1183" t="s">
        <v>342</v>
      </c>
      <c r="E1183">
        <v>10</v>
      </c>
      <c r="F1183">
        <v>2</v>
      </c>
      <c r="G1183" t="s">
        <v>24</v>
      </c>
      <c r="H1183" t="s">
        <v>50</v>
      </c>
      <c r="I1183">
        <v>80000</v>
      </c>
      <c r="J1183">
        <v>0</v>
      </c>
      <c r="K1183" t="s">
        <v>328</v>
      </c>
      <c r="L1183" t="s">
        <v>36</v>
      </c>
      <c r="M1183" t="s">
        <v>23</v>
      </c>
    </row>
    <row r="1184" spans="1:13" x14ac:dyDescent="0.3">
      <c r="A1184">
        <v>33</v>
      </c>
      <c r="B1184" t="s">
        <v>13</v>
      </c>
      <c r="C1184" t="s">
        <v>20</v>
      </c>
      <c r="D1184" t="s">
        <v>411</v>
      </c>
      <c r="E1184">
        <v>10</v>
      </c>
      <c r="F1184">
        <v>1.5</v>
      </c>
      <c r="G1184" t="s">
        <v>16</v>
      </c>
      <c r="H1184" t="s">
        <v>412</v>
      </c>
      <c r="I1184">
        <v>60000</v>
      </c>
      <c r="J1184">
        <v>3000</v>
      </c>
      <c r="K1184" t="s">
        <v>182</v>
      </c>
      <c r="L1184" t="s">
        <v>18</v>
      </c>
      <c r="M1184" t="s">
        <v>30</v>
      </c>
    </row>
    <row r="1185" spans="1:13" x14ac:dyDescent="0.3">
      <c r="A1185">
        <v>31</v>
      </c>
      <c r="B1185" t="s">
        <v>13</v>
      </c>
      <c r="C1185" t="s">
        <v>14</v>
      </c>
      <c r="D1185" t="s">
        <v>15</v>
      </c>
      <c r="E1185">
        <v>11</v>
      </c>
      <c r="F1185">
        <v>1</v>
      </c>
      <c r="G1185" t="s">
        <v>28</v>
      </c>
      <c r="H1185" t="s">
        <v>50</v>
      </c>
      <c r="I1185">
        <v>75000</v>
      </c>
      <c r="K1185" t="s">
        <v>182</v>
      </c>
      <c r="L1185" t="s">
        <v>18</v>
      </c>
      <c r="M1185" t="s">
        <v>30</v>
      </c>
    </row>
    <row r="1186" spans="1:13" x14ac:dyDescent="0.3">
      <c r="A1186">
        <v>28</v>
      </c>
      <c r="B1186" t="s">
        <v>13</v>
      </c>
      <c r="C1186" t="s">
        <v>20</v>
      </c>
      <c r="D1186" t="s">
        <v>234</v>
      </c>
      <c r="E1186">
        <v>4</v>
      </c>
      <c r="F1186">
        <v>2</v>
      </c>
      <c r="G1186" t="s">
        <v>235</v>
      </c>
      <c r="I1186">
        <v>57000</v>
      </c>
      <c r="K1186" t="s">
        <v>236</v>
      </c>
      <c r="L1186" t="s">
        <v>18</v>
      </c>
      <c r="M1186" t="s">
        <v>23</v>
      </c>
    </row>
    <row r="1187" spans="1:13" x14ac:dyDescent="0.3">
      <c r="A1187">
        <v>27</v>
      </c>
      <c r="B1187" t="s">
        <v>13</v>
      </c>
      <c r="C1187" t="s">
        <v>34</v>
      </c>
      <c r="D1187" t="s">
        <v>21</v>
      </c>
      <c r="E1187">
        <v>3</v>
      </c>
      <c r="G1187" t="s">
        <v>28</v>
      </c>
      <c r="H1187" t="s">
        <v>58</v>
      </c>
      <c r="I1187">
        <v>10001</v>
      </c>
      <c r="L1187" t="s">
        <v>18</v>
      </c>
      <c r="M1187" s="97" t="s">
        <v>552</v>
      </c>
    </row>
    <row r="1188" spans="1:13" x14ac:dyDescent="0.3">
      <c r="A1188">
        <v>30</v>
      </c>
      <c r="B1188" t="s">
        <v>13</v>
      </c>
      <c r="C1188" t="s">
        <v>14</v>
      </c>
      <c r="D1188" t="s">
        <v>15</v>
      </c>
      <c r="E1188">
        <v>10</v>
      </c>
      <c r="F1188">
        <v>3</v>
      </c>
      <c r="G1188" t="s">
        <v>16</v>
      </c>
      <c r="H1188" t="s">
        <v>294</v>
      </c>
      <c r="I1188">
        <v>79000</v>
      </c>
      <c r="L1188" t="s">
        <v>18</v>
      </c>
      <c r="M1188" s="97" t="s">
        <v>552</v>
      </c>
    </row>
    <row r="1189" spans="1:13" x14ac:dyDescent="0.3">
      <c r="A1189">
        <v>32</v>
      </c>
      <c r="B1189" t="s">
        <v>33</v>
      </c>
      <c r="C1189" t="s">
        <v>14</v>
      </c>
      <c r="D1189" t="s">
        <v>52</v>
      </c>
      <c r="E1189">
        <v>8</v>
      </c>
      <c r="F1189">
        <v>5</v>
      </c>
      <c r="G1189" t="s">
        <v>16</v>
      </c>
      <c r="H1189" t="s">
        <v>32</v>
      </c>
      <c r="I1189">
        <v>55000</v>
      </c>
      <c r="L1189" t="s">
        <v>36</v>
      </c>
      <c r="M1189" s="97" t="s">
        <v>552</v>
      </c>
    </row>
    <row r="1190" spans="1:13" x14ac:dyDescent="0.3">
      <c r="A1190">
        <v>42</v>
      </c>
      <c r="B1190" t="s">
        <v>33</v>
      </c>
      <c r="C1190" t="s">
        <v>20</v>
      </c>
      <c r="D1190" t="s">
        <v>52</v>
      </c>
      <c r="E1190">
        <v>10</v>
      </c>
      <c r="F1190">
        <v>3</v>
      </c>
      <c r="G1190" t="s">
        <v>28</v>
      </c>
      <c r="H1190" t="s">
        <v>55</v>
      </c>
      <c r="I1190">
        <v>42000</v>
      </c>
      <c r="J1190">
        <v>0</v>
      </c>
      <c r="L1190" t="s">
        <v>18</v>
      </c>
      <c r="M1190" s="97" t="s">
        <v>552</v>
      </c>
    </row>
    <row r="1191" spans="1:13" x14ac:dyDescent="0.3">
      <c r="A1191">
        <v>29</v>
      </c>
      <c r="B1191" t="s">
        <v>13</v>
      </c>
      <c r="C1191" t="s">
        <v>14</v>
      </c>
      <c r="D1191" t="s">
        <v>15</v>
      </c>
      <c r="E1191">
        <v>7</v>
      </c>
      <c r="F1191">
        <v>1</v>
      </c>
      <c r="G1191" t="s">
        <v>16</v>
      </c>
      <c r="H1191" t="s">
        <v>17</v>
      </c>
      <c r="I1191">
        <v>80000</v>
      </c>
      <c r="J1191">
        <v>0</v>
      </c>
      <c r="L1191" t="s">
        <v>18</v>
      </c>
      <c r="M1191" s="97" t="s">
        <v>552</v>
      </c>
    </row>
    <row r="1192" spans="1:13" x14ac:dyDescent="0.3">
      <c r="A1192">
        <v>45</v>
      </c>
      <c r="B1192" t="s">
        <v>13</v>
      </c>
      <c r="C1192" t="s">
        <v>59</v>
      </c>
      <c r="D1192" t="s">
        <v>205</v>
      </c>
      <c r="E1192">
        <v>27</v>
      </c>
      <c r="F1192">
        <v>20</v>
      </c>
      <c r="G1192" t="s">
        <v>62</v>
      </c>
      <c r="I1192">
        <v>90000</v>
      </c>
      <c r="L1192" t="s">
        <v>18</v>
      </c>
      <c r="M1192" s="97" t="s">
        <v>552</v>
      </c>
    </row>
    <row r="1193" spans="1:13" x14ac:dyDescent="0.3">
      <c r="A1193">
        <v>69</v>
      </c>
      <c r="B1193" t="s">
        <v>13</v>
      </c>
      <c r="C1193" t="s">
        <v>59</v>
      </c>
      <c r="D1193" t="s">
        <v>383</v>
      </c>
      <c r="F1193">
        <v>3</v>
      </c>
      <c r="G1193" t="s">
        <v>62</v>
      </c>
      <c r="I1193">
        <v>70000</v>
      </c>
      <c r="L1193" t="s">
        <v>36</v>
      </c>
      <c r="M1193" s="97" t="s">
        <v>552</v>
      </c>
    </row>
    <row r="1194" spans="1:13" x14ac:dyDescent="0.3">
      <c r="A1194">
        <v>40</v>
      </c>
      <c r="B1194" t="s">
        <v>33</v>
      </c>
      <c r="C1194" t="s">
        <v>20</v>
      </c>
      <c r="D1194" t="s">
        <v>52</v>
      </c>
      <c r="E1194">
        <v>16</v>
      </c>
      <c r="F1194">
        <v>4</v>
      </c>
      <c r="G1194" t="s">
        <v>28</v>
      </c>
      <c r="I1194">
        <v>65000</v>
      </c>
      <c r="L1194" t="s">
        <v>18</v>
      </c>
      <c r="M1194" s="97" t="s">
        <v>552</v>
      </c>
    </row>
    <row r="1195" spans="1:13" x14ac:dyDescent="0.3">
      <c r="A1195">
        <v>40</v>
      </c>
      <c r="B1195" t="s">
        <v>13</v>
      </c>
      <c r="C1195" t="s">
        <v>59</v>
      </c>
      <c r="D1195" t="s">
        <v>15</v>
      </c>
      <c r="E1195">
        <v>14</v>
      </c>
      <c r="F1195">
        <v>14</v>
      </c>
      <c r="G1195" t="s">
        <v>16</v>
      </c>
      <c r="H1195" t="s">
        <v>111</v>
      </c>
      <c r="I1195">
        <v>95000</v>
      </c>
      <c r="L1195" t="s">
        <v>36</v>
      </c>
      <c r="M1195" t="s">
        <v>30</v>
      </c>
    </row>
    <row r="1196" spans="1:13" x14ac:dyDescent="0.3">
      <c r="A1196">
        <v>40</v>
      </c>
      <c r="B1196" t="s">
        <v>13</v>
      </c>
      <c r="C1196" t="s">
        <v>20</v>
      </c>
      <c r="D1196" t="s">
        <v>21</v>
      </c>
      <c r="E1196">
        <v>20</v>
      </c>
      <c r="F1196">
        <v>5</v>
      </c>
      <c r="G1196" t="s">
        <v>24</v>
      </c>
      <c r="H1196" t="s">
        <v>32</v>
      </c>
      <c r="I1196">
        <v>80000</v>
      </c>
      <c r="L1196" t="s">
        <v>18</v>
      </c>
      <c r="M1196" t="s">
        <v>30</v>
      </c>
    </row>
    <row r="1197" spans="1:13" x14ac:dyDescent="0.3">
      <c r="B1197" t="s">
        <v>13</v>
      </c>
      <c r="C1197" t="s">
        <v>14</v>
      </c>
      <c r="D1197" t="s">
        <v>15</v>
      </c>
      <c r="E1197">
        <v>4</v>
      </c>
      <c r="F1197">
        <v>3</v>
      </c>
      <c r="G1197" t="s">
        <v>28</v>
      </c>
      <c r="H1197" t="s">
        <v>32</v>
      </c>
      <c r="I1197">
        <v>56000</v>
      </c>
      <c r="J1197">
        <v>0</v>
      </c>
      <c r="L1197" t="s">
        <v>18</v>
      </c>
      <c r="M1197" t="s">
        <v>30</v>
      </c>
    </row>
    <row r="1198" spans="1:13" x14ac:dyDescent="0.3">
      <c r="A1198">
        <v>33</v>
      </c>
      <c r="B1198" t="s">
        <v>13</v>
      </c>
      <c r="C1198" t="s">
        <v>20</v>
      </c>
      <c r="D1198" t="s">
        <v>21</v>
      </c>
      <c r="E1198">
        <v>9</v>
      </c>
      <c r="F1198">
        <v>4</v>
      </c>
      <c r="G1198" t="s">
        <v>16</v>
      </c>
      <c r="H1198" t="s">
        <v>32</v>
      </c>
      <c r="I1198">
        <v>81900</v>
      </c>
      <c r="J1198">
        <v>102600</v>
      </c>
      <c r="L1198" t="s">
        <v>18</v>
      </c>
      <c r="M1198" t="s">
        <v>30</v>
      </c>
    </row>
    <row r="1199" spans="1:13" x14ac:dyDescent="0.3">
      <c r="A1199">
        <v>30</v>
      </c>
      <c r="B1199" t="s">
        <v>33</v>
      </c>
      <c r="C1199" t="s">
        <v>34</v>
      </c>
      <c r="D1199" t="s">
        <v>15</v>
      </c>
      <c r="E1199">
        <v>5</v>
      </c>
      <c r="F1199">
        <v>2</v>
      </c>
      <c r="G1199" t="s">
        <v>16</v>
      </c>
      <c r="H1199" t="s">
        <v>32</v>
      </c>
      <c r="I1199">
        <v>70000</v>
      </c>
      <c r="J1199">
        <v>20000</v>
      </c>
      <c r="L1199" t="s">
        <v>18</v>
      </c>
      <c r="M1199" t="s">
        <v>30</v>
      </c>
    </row>
    <row r="1200" spans="1:13" x14ac:dyDescent="0.3">
      <c r="A1200">
        <v>30</v>
      </c>
      <c r="B1200" t="s">
        <v>33</v>
      </c>
      <c r="C1200" t="s">
        <v>34</v>
      </c>
      <c r="D1200" t="s">
        <v>15</v>
      </c>
      <c r="E1200">
        <v>5</v>
      </c>
      <c r="F1200">
        <v>2</v>
      </c>
      <c r="G1200" t="s">
        <v>16</v>
      </c>
      <c r="H1200" t="s">
        <v>32</v>
      </c>
      <c r="I1200">
        <v>70000</v>
      </c>
      <c r="J1200">
        <v>20000</v>
      </c>
      <c r="L1200" t="s">
        <v>18</v>
      </c>
      <c r="M1200" t="s">
        <v>30</v>
      </c>
    </row>
    <row r="1201" spans="1:13" x14ac:dyDescent="0.3">
      <c r="C1201" t="s">
        <v>20</v>
      </c>
      <c r="D1201" t="s">
        <v>15</v>
      </c>
      <c r="G1201" t="s">
        <v>24</v>
      </c>
      <c r="H1201" t="s">
        <v>31</v>
      </c>
      <c r="I1201">
        <v>90000</v>
      </c>
      <c r="J1201">
        <v>40000</v>
      </c>
      <c r="L1201" t="s">
        <v>18</v>
      </c>
      <c r="M1201" t="s">
        <v>30</v>
      </c>
    </row>
    <row r="1202" spans="1:13" x14ac:dyDescent="0.3">
      <c r="A1202">
        <v>36</v>
      </c>
      <c r="B1202" t="s">
        <v>13</v>
      </c>
      <c r="C1202" t="s">
        <v>104</v>
      </c>
      <c r="D1202" t="s">
        <v>105</v>
      </c>
      <c r="E1202">
        <v>12</v>
      </c>
      <c r="F1202">
        <v>0.5</v>
      </c>
      <c r="G1202" t="s">
        <v>106</v>
      </c>
      <c r="H1202" t="s">
        <v>50</v>
      </c>
      <c r="I1202">
        <v>89200</v>
      </c>
      <c r="J1202">
        <v>17800</v>
      </c>
      <c r="L1202" t="s">
        <v>18</v>
      </c>
      <c r="M1202" t="s">
        <v>30</v>
      </c>
    </row>
    <row r="1203" spans="1:13" x14ac:dyDescent="0.3">
      <c r="A1203">
        <v>29</v>
      </c>
      <c r="B1203" t="s">
        <v>13</v>
      </c>
      <c r="C1203" t="s">
        <v>20</v>
      </c>
      <c r="D1203" t="s">
        <v>35</v>
      </c>
      <c r="E1203">
        <v>5</v>
      </c>
      <c r="F1203">
        <v>5</v>
      </c>
      <c r="G1203" t="s">
        <v>28</v>
      </c>
      <c r="H1203" t="s">
        <v>50</v>
      </c>
      <c r="I1203">
        <v>68000</v>
      </c>
      <c r="L1203" t="s">
        <v>18</v>
      </c>
      <c r="M1203" t="s">
        <v>30</v>
      </c>
    </row>
    <row r="1204" spans="1:13" x14ac:dyDescent="0.3">
      <c r="A1204">
        <v>31</v>
      </c>
      <c r="B1204" t="s">
        <v>13</v>
      </c>
      <c r="C1204" t="s">
        <v>34</v>
      </c>
      <c r="D1204" t="s">
        <v>53</v>
      </c>
      <c r="E1204">
        <v>6</v>
      </c>
      <c r="F1204">
        <v>6</v>
      </c>
      <c r="G1204" t="s">
        <v>28</v>
      </c>
      <c r="H1204" t="s">
        <v>50</v>
      </c>
      <c r="I1204">
        <v>57000</v>
      </c>
      <c r="L1204" t="s">
        <v>36</v>
      </c>
      <c r="M1204" t="s">
        <v>30</v>
      </c>
    </row>
    <row r="1205" spans="1:13" x14ac:dyDescent="0.3">
      <c r="A1205">
        <v>33</v>
      </c>
      <c r="B1205" t="s">
        <v>155</v>
      </c>
      <c r="C1205" t="s">
        <v>34</v>
      </c>
      <c r="D1205" t="s">
        <v>15</v>
      </c>
      <c r="E1205">
        <v>1</v>
      </c>
      <c r="F1205">
        <v>6</v>
      </c>
      <c r="G1205" t="s">
        <v>28</v>
      </c>
      <c r="H1205" t="s">
        <v>71</v>
      </c>
      <c r="I1205">
        <v>130000</v>
      </c>
      <c r="J1205">
        <v>0</v>
      </c>
      <c r="L1205" t="s">
        <v>18</v>
      </c>
      <c r="M1205" t="s">
        <v>30</v>
      </c>
    </row>
    <row r="1206" spans="1:13" x14ac:dyDescent="0.3">
      <c r="A1206">
        <v>31</v>
      </c>
      <c r="B1206" t="s">
        <v>13</v>
      </c>
      <c r="C1206" t="s">
        <v>20</v>
      </c>
      <c r="D1206" t="s">
        <v>53</v>
      </c>
      <c r="E1206">
        <v>6</v>
      </c>
      <c r="F1206">
        <v>2.5</v>
      </c>
      <c r="G1206" t="s">
        <v>16</v>
      </c>
      <c r="I1206">
        <v>78000</v>
      </c>
      <c r="L1206" t="s">
        <v>18</v>
      </c>
      <c r="M1206" t="s">
        <v>30</v>
      </c>
    </row>
    <row r="1207" spans="1:13" x14ac:dyDescent="0.3">
      <c r="A1207">
        <v>32</v>
      </c>
      <c r="B1207" t="s">
        <v>13</v>
      </c>
      <c r="C1207" t="s">
        <v>263</v>
      </c>
      <c r="D1207" t="s">
        <v>27</v>
      </c>
      <c r="E1207">
        <v>12</v>
      </c>
      <c r="F1207">
        <v>3</v>
      </c>
      <c r="G1207" t="s">
        <v>16</v>
      </c>
      <c r="I1207">
        <v>62000</v>
      </c>
      <c r="L1207" t="s">
        <v>18</v>
      </c>
      <c r="M1207" t="s">
        <v>30</v>
      </c>
    </row>
    <row r="1208" spans="1:13" x14ac:dyDescent="0.3">
      <c r="B1208" t="s">
        <v>13</v>
      </c>
      <c r="C1208" t="s">
        <v>20</v>
      </c>
      <c r="D1208" t="s">
        <v>27</v>
      </c>
      <c r="E1208">
        <v>10</v>
      </c>
      <c r="F1208">
        <v>5</v>
      </c>
      <c r="G1208" t="s">
        <v>16</v>
      </c>
      <c r="I1208">
        <v>90000</v>
      </c>
      <c r="L1208" t="s">
        <v>18</v>
      </c>
      <c r="M1208" t="s">
        <v>30</v>
      </c>
    </row>
    <row r="1209" spans="1:13" x14ac:dyDescent="0.3">
      <c r="A1209">
        <v>33</v>
      </c>
      <c r="B1209" t="s">
        <v>13</v>
      </c>
      <c r="C1209" t="s">
        <v>20</v>
      </c>
      <c r="D1209" t="s">
        <v>81</v>
      </c>
      <c r="E1209">
        <v>10</v>
      </c>
      <c r="F1209">
        <v>6</v>
      </c>
      <c r="G1209" t="s">
        <v>16</v>
      </c>
      <c r="I1209">
        <v>90000</v>
      </c>
      <c r="L1209" t="s">
        <v>18</v>
      </c>
      <c r="M1209" t="s">
        <v>30</v>
      </c>
    </row>
    <row r="1210" spans="1:13" x14ac:dyDescent="0.3">
      <c r="A1210">
        <v>24</v>
      </c>
      <c r="B1210" t="s">
        <v>13</v>
      </c>
      <c r="C1210" t="s">
        <v>14</v>
      </c>
      <c r="D1210" t="s">
        <v>53</v>
      </c>
      <c r="E1210">
        <v>1</v>
      </c>
      <c r="F1210">
        <v>1</v>
      </c>
      <c r="G1210" t="s">
        <v>26</v>
      </c>
      <c r="H1210" t="s">
        <v>37</v>
      </c>
      <c r="I1210">
        <v>300000</v>
      </c>
      <c r="L1210" t="s">
        <v>18</v>
      </c>
      <c r="M1210" t="s">
        <v>23</v>
      </c>
    </row>
    <row r="1211" spans="1:13" x14ac:dyDescent="0.3">
      <c r="A1211">
        <v>30</v>
      </c>
      <c r="B1211" t="s">
        <v>13</v>
      </c>
      <c r="C1211" t="s">
        <v>59</v>
      </c>
      <c r="D1211" t="s">
        <v>15</v>
      </c>
      <c r="E1211">
        <v>8</v>
      </c>
      <c r="G1211" t="s">
        <v>28</v>
      </c>
      <c r="H1211" t="s">
        <v>37</v>
      </c>
      <c r="I1211">
        <v>71000</v>
      </c>
      <c r="J1211">
        <v>7100</v>
      </c>
      <c r="L1211" t="s">
        <v>18</v>
      </c>
      <c r="M1211" t="s">
        <v>23</v>
      </c>
    </row>
    <row r="1212" spans="1:13" x14ac:dyDescent="0.3">
      <c r="A1212">
        <v>30</v>
      </c>
      <c r="B1212" t="s">
        <v>13</v>
      </c>
      <c r="C1212" t="s">
        <v>20</v>
      </c>
      <c r="D1212" t="s">
        <v>21</v>
      </c>
      <c r="E1212">
        <v>4</v>
      </c>
      <c r="F1212">
        <v>2</v>
      </c>
      <c r="G1212" t="s">
        <v>16</v>
      </c>
      <c r="H1212" t="s">
        <v>181</v>
      </c>
      <c r="I1212">
        <v>65000</v>
      </c>
      <c r="L1212" t="s">
        <v>18</v>
      </c>
      <c r="M1212" t="s">
        <v>23</v>
      </c>
    </row>
    <row r="1213" spans="1:13" x14ac:dyDescent="0.3">
      <c r="A1213">
        <v>53</v>
      </c>
      <c r="B1213" t="s">
        <v>13</v>
      </c>
      <c r="C1213" t="s">
        <v>59</v>
      </c>
      <c r="D1213" t="s">
        <v>25</v>
      </c>
      <c r="E1213">
        <v>15</v>
      </c>
      <c r="F1213">
        <v>15</v>
      </c>
      <c r="G1213" t="s">
        <v>16</v>
      </c>
      <c r="H1213" t="s">
        <v>32</v>
      </c>
      <c r="I1213">
        <v>50000</v>
      </c>
      <c r="L1213" t="s">
        <v>36</v>
      </c>
      <c r="M1213" t="s">
        <v>23</v>
      </c>
    </row>
    <row r="1214" spans="1:13" x14ac:dyDescent="0.3">
      <c r="A1214">
        <v>26</v>
      </c>
      <c r="B1214" t="s">
        <v>33</v>
      </c>
      <c r="C1214" t="s">
        <v>163</v>
      </c>
      <c r="D1214" t="s">
        <v>25</v>
      </c>
      <c r="E1214">
        <v>6</v>
      </c>
      <c r="F1214">
        <v>0</v>
      </c>
      <c r="G1214" t="s">
        <v>16</v>
      </c>
      <c r="H1214" t="s">
        <v>55</v>
      </c>
      <c r="I1214">
        <v>33000</v>
      </c>
      <c r="J1214">
        <v>0</v>
      </c>
      <c r="L1214" t="s">
        <v>164</v>
      </c>
      <c r="M1214" t="s">
        <v>23</v>
      </c>
    </row>
    <row r="1215" spans="1:13" x14ac:dyDescent="0.3">
      <c r="A1215">
        <v>30</v>
      </c>
      <c r="B1215" t="s">
        <v>33</v>
      </c>
      <c r="C1215" t="s">
        <v>329</v>
      </c>
      <c r="D1215" t="s">
        <v>15</v>
      </c>
      <c r="E1215">
        <v>4</v>
      </c>
      <c r="F1215">
        <v>4</v>
      </c>
      <c r="G1215" t="s">
        <v>28</v>
      </c>
      <c r="H1215" t="s">
        <v>55</v>
      </c>
      <c r="I1215">
        <v>54000</v>
      </c>
      <c r="L1215" t="s">
        <v>18</v>
      </c>
      <c r="M1215" t="s">
        <v>23</v>
      </c>
    </row>
    <row r="1216" spans="1:13" x14ac:dyDescent="0.3">
      <c r="A1216">
        <v>27</v>
      </c>
      <c r="B1216" t="s">
        <v>13</v>
      </c>
      <c r="C1216" t="s">
        <v>20</v>
      </c>
      <c r="D1216" t="s">
        <v>43</v>
      </c>
      <c r="E1216">
        <v>3</v>
      </c>
      <c r="F1216">
        <v>0</v>
      </c>
      <c r="G1216" t="s">
        <v>28</v>
      </c>
      <c r="H1216" t="s">
        <v>40</v>
      </c>
      <c r="I1216">
        <v>65000</v>
      </c>
      <c r="L1216" t="s">
        <v>18</v>
      </c>
      <c r="M1216" t="s">
        <v>23</v>
      </c>
    </row>
    <row r="1217" spans="1:13" x14ac:dyDescent="0.3">
      <c r="A1217">
        <v>35</v>
      </c>
      <c r="B1217" t="s">
        <v>13</v>
      </c>
      <c r="C1217" t="s">
        <v>20</v>
      </c>
      <c r="D1217" t="s">
        <v>41</v>
      </c>
      <c r="E1217">
        <v>10</v>
      </c>
      <c r="F1217">
        <v>5</v>
      </c>
      <c r="G1217" t="s">
        <v>16</v>
      </c>
      <c r="H1217" t="s">
        <v>31</v>
      </c>
      <c r="I1217">
        <v>90000</v>
      </c>
      <c r="J1217">
        <v>10000</v>
      </c>
      <c r="L1217" t="s">
        <v>18</v>
      </c>
      <c r="M1217" t="s">
        <v>23</v>
      </c>
    </row>
    <row r="1218" spans="1:13" x14ac:dyDescent="0.3">
      <c r="A1218">
        <v>23</v>
      </c>
      <c r="B1218" t="s">
        <v>13</v>
      </c>
      <c r="C1218" t="s">
        <v>14</v>
      </c>
      <c r="D1218" t="s">
        <v>81</v>
      </c>
      <c r="E1218">
        <v>1</v>
      </c>
      <c r="F1218">
        <v>0.5</v>
      </c>
      <c r="G1218" t="s">
        <v>26</v>
      </c>
      <c r="H1218" t="s">
        <v>50</v>
      </c>
      <c r="I1218">
        <v>49000</v>
      </c>
      <c r="L1218" t="s">
        <v>18</v>
      </c>
      <c r="M1218" t="s">
        <v>23</v>
      </c>
    </row>
    <row r="1219" spans="1:13" x14ac:dyDescent="0.3">
      <c r="A1219">
        <v>30</v>
      </c>
      <c r="B1219" t="s">
        <v>13</v>
      </c>
      <c r="C1219" t="s">
        <v>20</v>
      </c>
      <c r="D1219" t="s">
        <v>15</v>
      </c>
      <c r="E1219">
        <v>10</v>
      </c>
      <c r="F1219">
        <v>5</v>
      </c>
      <c r="G1219" t="s">
        <v>24</v>
      </c>
      <c r="H1219" t="s">
        <v>50</v>
      </c>
      <c r="I1219">
        <v>78000</v>
      </c>
      <c r="J1219">
        <v>1000</v>
      </c>
      <c r="L1219" t="s">
        <v>18</v>
      </c>
      <c r="M1219" t="s">
        <v>23</v>
      </c>
    </row>
    <row r="1220" spans="1:13" x14ac:dyDescent="0.3">
      <c r="A1220">
        <v>31</v>
      </c>
      <c r="B1220" t="s">
        <v>13</v>
      </c>
      <c r="C1220" t="s">
        <v>20</v>
      </c>
      <c r="D1220" t="s">
        <v>35</v>
      </c>
      <c r="E1220">
        <v>9</v>
      </c>
      <c r="F1220">
        <v>5</v>
      </c>
      <c r="G1220" t="s">
        <v>16</v>
      </c>
      <c r="H1220" t="s">
        <v>50</v>
      </c>
      <c r="I1220">
        <v>81000</v>
      </c>
      <c r="J1220">
        <v>12150</v>
      </c>
      <c r="L1220" t="s">
        <v>18</v>
      </c>
      <c r="M1220" t="s">
        <v>23</v>
      </c>
    </row>
    <row r="1221" spans="1:13" x14ac:dyDescent="0.3">
      <c r="A1221">
        <v>29</v>
      </c>
      <c r="B1221" t="s">
        <v>13</v>
      </c>
      <c r="C1221" t="s">
        <v>192</v>
      </c>
      <c r="D1221" t="s">
        <v>25</v>
      </c>
      <c r="E1221">
        <v>10</v>
      </c>
      <c r="F1221">
        <v>0</v>
      </c>
      <c r="G1221" t="s">
        <v>16</v>
      </c>
      <c r="H1221" t="s">
        <v>17</v>
      </c>
      <c r="I1221">
        <v>60000</v>
      </c>
      <c r="J1221">
        <v>2500</v>
      </c>
      <c r="L1221" t="s">
        <v>18</v>
      </c>
      <c r="M1221" t="s">
        <v>23</v>
      </c>
    </row>
    <row r="1222" spans="1:13" x14ac:dyDescent="0.3">
      <c r="A1222">
        <v>33</v>
      </c>
      <c r="B1222" t="s">
        <v>13</v>
      </c>
      <c r="C1222" t="s">
        <v>20</v>
      </c>
      <c r="D1222" t="s">
        <v>21</v>
      </c>
      <c r="E1222">
        <v>10</v>
      </c>
      <c r="F1222">
        <v>10</v>
      </c>
      <c r="G1222" t="s">
        <v>62</v>
      </c>
      <c r="I1222">
        <v>93000</v>
      </c>
      <c r="L1222" t="s">
        <v>18</v>
      </c>
      <c r="M1222" t="s">
        <v>23</v>
      </c>
    </row>
    <row r="1223" spans="1:13" x14ac:dyDescent="0.3">
      <c r="A1223">
        <v>28</v>
      </c>
      <c r="B1223" t="s">
        <v>13</v>
      </c>
      <c r="C1223" t="s">
        <v>20</v>
      </c>
      <c r="D1223" t="s">
        <v>27</v>
      </c>
      <c r="E1223">
        <v>10</v>
      </c>
      <c r="F1223">
        <v>7</v>
      </c>
      <c r="G1223" t="s">
        <v>24</v>
      </c>
      <c r="I1223">
        <v>78000</v>
      </c>
      <c r="L1223" t="s">
        <v>18</v>
      </c>
      <c r="M1223" t="s">
        <v>23</v>
      </c>
    </row>
    <row r="1224" spans="1:13" x14ac:dyDescent="0.3">
      <c r="A1224">
        <v>35</v>
      </c>
      <c r="B1224" t="s">
        <v>13</v>
      </c>
      <c r="C1224" t="s">
        <v>70</v>
      </c>
      <c r="D1224" t="s">
        <v>135</v>
      </c>
      <c r="E1224">
        <v>12</v>
      </c>
      <c r="F1224">
        <v>2</v>
      </c>
      <c r="G1224" t="s">
        <v>16</v>
      </c>
      <c r="I1224">
        <v>100000</v>
      </c>
      <c r="J1224">
        <v>32000</v>
      </c>
      <c r="L1224" t="s">
        <v>18</v>
      </c>
      <c r="M1224" t="s">
        <v>23</v>
      </c>
    </row>
    <row r="1225" spans="1:13" x14ac:dyDescent="0.3">
      <c r="A1225">
        <v>33</v>
      </c>
      <c r="B1225" t="s">
        <v>13</v>
      </c>
      <c r="C1225" t="s">
        <v>278</v>
      </c>
      <c r="D1225" t="s">
        <v>41</v>
      </c>
      <c r="E1225">
        <v>6</v>
      </c>
      <c r="F1225">
        <v>0.5</v>
      </c>
      <c r="G1225" t="s">
        <v>16</v>
      </c>
      <c r="I1225">
        <v>70000</v>
      </c>
      <c r="L1225" t="s">
        <v>18</v>
      </c>
      <c r="M1225" t="s">
        <v>23</v>
      </c>
    </row>
    <row r="1226" spans="1:13" x14ac:dyDescent="0.3">
      <c r="A1226">
        <v>33</v>
      </c>
      <c r="B1226" t="s">
        <v>13</v>
      </c>
      <c r="C1226" t="s">
        <v>278</v>
      </c>
      <c r="D1226" t="s">
        <v>41</v>
      </c>
      <c r="E1226">
        <v>6</v>
      </c>
      <c r="F1226">
        <v>0.5</v>
      </c>
      <c r="G1226" t="s">
        <v>16</v>
      </c>
      <c r="I1226">
        <v>70000</v>
      </c>
      <c r="L1226" t="s">
        <v>18</v>
      </c>
      <c r="M1226" t="s">
        <v>23</v>
      </c>
    </row>
    <row r="1227" spans="1:13" x14ac:dyDescent="0.3">
      <c r="A1227">
        <v>30</v>
      </c>
      <c r="B1227" t="s">
        <v>13</v>
      </c>
      <c r="C1227" t="s">
        <v>20</v>
      </c>
      <c r="D1227" t="s">
        <v>15</v>
      </c>
      <c r="E1227">
        <v>11</v>
      </c>
      <c r="F1227">
        <v>4</v>
      </c>
      <c r="G1227" t="s">
        <v>16</v>
      </c>
      <c r="H1227" t="s">
        <v>111</v>
      </c>
      <c r="I1227">
        <v>70000</v>
      </c>
      <c r="L1227" t="s">
        <v>18</v>
      </c>
      <c r="M1227" t="s">
        <v>19</v>
      </c>
    </row>
    <row r="1228" spans="1:13" x14ac:dyDescent="0.3">
      <c r="A1228">
        <v>27</v>
      </c>
      <c r="B1228" t="s">
        <v>13</v>
      </c>
      <c r="C1228" t="s">
        <v>20</v>
      </c>
      <c r="D1228" t="s">
        <v>21</v>
      </c>
      <c r="E1228">
        <v>3</v>
      </c>
      <c r="F1228">
        <v>0</v>
      </c>
      <c r="G1228" t="s">
        <v>28</v>
      </c>
      <c r="H1228" t="s">
        <v>32</v>
      </c>
      <c r="I1228">
        <v>57000</v>
      </c>
      <c r="L1228" t="s">
        <v>18</v>
      </c>
      <c r="M1228" t="s">
        <v>19</v>
      </c>
    </row>
    <row r="1229" spans="1:13" x14ac:dyDescent="0.3">
      <c r="A1229">
        <v>33</v>
      </c>
      <c r="B1229" t="s">
        <v>13</v>
      </c>
      <c r="C1229" t="s">
        <v>14</v>
      </c>
      <c r="D1229" t="s">
        <v>21</v>
      </c>
      <c r="E1229">
        <v>13</v>
      </c>
      <c r="F1229">
        <v>3</v>
      </c>
      <c r="G1229" t="s">
        <v>16</v>
      </c>
      <c r="H1229" t="s">
        <v>32</v>
      </c>
      <c r="I1229">
        <v>70000</v>
      </c>
      <c r="J1229">
        <v>7000</v>
      </c>
      <c r="L1229" t="s">
        <v>18</v>
      </c>
      <c r="M1229" t="s">
        <v>19</v>
      </c>
    </row>
    <row r="1230" spans="1:13" x14ac:dyDescent="0.3">
      <c r="A1230">
        <v>28</v>
      </c>
      <c r="B1230" t="s">
        <v>13</v>
      </c>
      <c r="C1230" t="s">
        <v>102</v>
      </c>
      <c r="D1230" t="s">
        <v>21</v>
      </c>
      <c r="E1230">
        <v>4</v>
      </c>
      <c r="F1230">
        <v>0</v>
      </c>
      <c r="G1230" t="s">
        <v>28</v>
      </c>
      <c r="H1230" t="s">
        <v>32</v>
      </c>
      <c r="I1230">
        <v>28000</v>
      </c>
      <c r="L1230" t="s">
        <v>18</v>
      </c>
      <c r="M1230" t="s">
        <v>19</v>
      </c>
    </row>
    <row r="1231" spans="1:13" x14ac:dyDescent="0.3">
      <c r="A1231">
        <v>33</v>
      </c>
      <c r="B1231" t="s">
        <v>13</v>
      </c>
      <c r="C1231" t="s">
        <v>20</v>
      </c>
      <c r="D1231" t="s">
        <v>15</v>
      </c>
      <c r="E1231">
        <v>14</v>
      </c>
      <c r="F1231">
        <v>4</v>
      </c>
      <c r="G1231" t="s">
        <v>16</v>
      </c>
      <c r="H1231" t="s">
        <v>31</v>
      </c>
      <c r="I1231">
        <v>68000</v>
      </c>
      <c r="J1231">
        <v>0</v>
      </c>
      <c r="L1231" t="s">
        <v>18</v>
      </c>
      <c r="M1231" t="s">
        <v>19</v>
      </c>
    </row>
    <row r="1232" spans="1:13" x14ac:dyDescent="0.3">
      <c r="A1232">
        <v>44</v>
      </c>
      <c r="B1232" t="s">
        <v>33</v>
      </c>
      <c r="C1232" t="s">
        <v>20</v>
      </c>
      <c r="D1232" t="s">
        <v>81</v>
      </c>
      <c r="E1232">
        <v>13</v>
      </c>
      <c r="F1232">
        <v>0</v>
      </c>
      <c r="G1232" t="s">
        <v>26</v>
      </c>
      <c r="I1232">
        <v>45000</v>
      </c>
      <c r="J1232">
        <v>0</v>
      </c>
      <c r="L1232" t="s">
        <v>18</v>
      </c>
      <c r="M1232" t="s">
        <v>19</v>
      </c>
    </row>
    <row r="1233" spans="1:13" x14ac:dyDescent="0.3">
      <c r="A1233">
        <v>33</v>
      </c>
      <c r="B1233" t="s">
        <v>13</v>
      </c>
      <c r="C1233" t="s">
        <v>70</v>
      </c>
      <c r="D1233" t="s">
        <v>15</v>
      </c>
      <c r="E1233">
        <v>10</v>
      </c>
      <c r="F1233">
        <v>1</v>
      </c>
      <c r="G1233" t="s">
        <v>16</v>
      </c>
      <c r="H1233" t="s">
        <v>58</v>
      </c>
      <c r="I1233">
        <v>26400</v>
      </c>
      <c r="L1233" t="s">
        <v>18</v>
      </c>
      <c r="M1233" t="s">
        <v>67</v>
      </c>
    </row>
    <row r="1234" spans="1:13" x14ac:dyDescent="0.3">
      <c r="A1234">
        <v>52</v>
      </c>
      <c r="B1234" t="s">
        <v>13</v>
      </c>
      <c r="C1234" t="s">
        <v>59</v>
      </c>
      <c r="D1234" t="s">
        <v>15</v>
      </c>
      <c r="F1234">
        <v>30</v>
      </c>
      <c r="G1234" t="s">
        <v>24</v>
      </c>
      <c r="H1234" t="s">
        <v>406</v>
      </c>
      <c r="I1234">
        <v>100000</v>
      </c>
      <c r="L1234" t="s">
        <v>18</v>
      </c>
      <c r="M1234" t="s">
        <v>67</v>
      </c>
    </row>
    <row r="1235" spans="1:13" x14ac:dyDescent="0.3">
      <c r="A1235">
        <v>23</v>
      </c>
      <c r="B1235" t="s">
        <v>13</v>
      </c>
      <c r="C1235" t="s">
        <v>352</v>
      </c>
      <c r="D1235" t="s">
        <v>353</v>
      </c>
      <c r="E1235">
        <v>4</v>
      </c>
      <c r="F1235">
        <v>0</v>
      </c>
      <c r="G1235" t="s">
        <v>354</v>
      </c>
      <c r="H1235" t="s">
        <v>520</v>
      </c>
      <c r="I1235">
        <v>54179.13</v>
      </c>
      <c r="J1235">
        <v>60847.32</v>
      </c>
      <c r="L1235" t="s">
        <v>18</v>
      </c>
      <c r="M1235" t="s">
        <v>67</v>
      </c>
    </row>
    <row r="1236" spans="1:13" x14ac:dyDescent="0.3">
      <c r="A1236">
        <v>48</v>
      </c>
      <c r="B1236" t="s">
        <v>13</v>
      </c>
      <c r="C1236" t="s">
        <v>65</v>
      </c>
      <c r="D1236" t="s">
        <v>35</v>
      </c>
      <c r="E1236">
        <v>23</v>
      </c>
      <c r="F1236">
        <v>0</v>
      </c>
      <c r="H1236" t="s">
        <v>66</v>
      </c>
      <c r="I1236">
        <v>110000</v>
      </c>
      <c r="L1236" t="s">
        <v>18</v>
      </c>
      <c r="M1236" t="s">
        <v>67</v>
      </c>
    </row>
    <row r="1237" spans="1:13" x14ac:dyDescent="0.3">
      <c r="A1237">
        <v>38</v>
      </c>
      <c r="B1237" t="s">
        <v>13</v>
      </c>
      <c r="C1237" t="s">
        <v>20</v>
      </c>
      <c r="D1237" t="s">
        <v>21</v>
      </c>
      <c r="E1237">
        <v>11</v>
      </c>
      <c r="F1237">
        <v>1</v>
      </c>
      <c r="G1237" t="s">
        <v>16</v>
      </c>
      <c r="H1237" t="s">
        <v>55</v>
      </c>
      <c r="I1237">
        <v>35000</v>
      </c>
      <c r="L1237" t="s">
        <v>18</v>
      </c>
      <c r="M1237" t="s">
        <v>67</v>
      </c>
    </row>
    <row r="1238" spans="1:13" x14ac:dyDescent="0.3">
      <c r="A1238">
        <v>39</v>
      </c>
      <c r="B1238" t="s">
        <v>13</v>
      </c>
      <c r="C1238" t="s">
        <v>14</v>
      </c>
      <c r="D1238" t="s">
        <v>15</v>
      </c>
      <c r="E1238">
        <v>12</v>
      </c>
      <c r="F1238">
        <v>6</v>
      </c>
      <c r="G1238" t="s">
        <v>24</v>
      </c>
      <c r="H1238" t="s">
        <v>31</v>
      </c>
      <c r="I1238">
        <v>108000</v>
      </c>
      <c r="L1238" t="s">
        <v>18</v>
      </c>
      <c r="M1238" t="s">
        <v>67</v>
      </c>
    </row>
    <row r="1239" spans="1:13" x14ac:dyDescent="0.3">
      <c r="A1239">
        <v>22</v>
      </c>
      <c r="B1239" t="s">
        <v>13</v>
      </c>
      <c r="C1239" t="s">
        <v>365</v>
      </c>
      <c r="D1239" t="s">
        <v>366</v>
      </c>
      <c r="E1239">
        <v>2</v>
      </c>
      <c r="F1239">
        <v>0.5</v>
      </c>
      <c r="G1239" t="s">
        <v>367</v>
      </c>
      <c r="H1239" t="s">
        <v>50</v>
      </c>
      <c r="I1239">
        <v>35000</v>
      </c>
      <c r="J1239">
        <v>35000</v>
      </c>
      <c r="L1239" t="s">
        <v>36</v>
      </c>
      <c r="M1239" t="s">
        <v>67</v>
      </c>
    </row>
    <row r="1240" spans="1:13" x14ac:dyDescent="0.3">
      <c r="A1240">
        <v>37</v>
      </c>
      <c r="B1240" t="s">
        <v>33</v>
      </c>
      <c r="C1240" t="s">
        <v>20</v>
      </c>
      <c r="D1240" t="s">
        <v>38</v>
      </c>
      <c r="E1240">
        <v>2</v>
      </c>
      <c r="F1240">
        <v>1</v>
      </c>
      <c r="G1240" t="s">
        <v>28</v>
      </c>
      <c r="I1240">
        <v>70000</v>
      </c>
      <c r="L1240" t="s">
        <v>18</v>
      </c>
      <c r="M1240" t="s">
        <v>67</v>
      </c>
    </row>
    <row r="1241" spans="1:13" x14ac:dyDescent="0.3">
      <c r="A1241">
        <v>25</v>
      </c>
      <c r="B1241" t="s">
        <v>13</v>
      </c>
      <c r="C1241" t="s">
        <v>20</v>
      </c>
      <c r="D1241" t="s">
        <v>21</v>
      </c>
      <c r="E1241">
        <v>5</v>
      </c>
      <c r="F1241">
        <v>0</v>
      </c>
      <c r="G1241" t="s">
        <v>16</v>
      </c>
      <c r="H1241" t="s">
        <v>32</v>
      </c>
      <c r="I1241">
        <v>60000</v>
      </c>
      <c r="J1241">
        <v>5600</v>
      </c>
    </row>
    <row r="1242" spans="1:13" x14ac:dyDescent="0.3">
      <c r="B1242" t="s">
        <v>13</v>
      </c>
      <c r="C1242" t="s">
        <v>20</v>
      </c>
      <c r="D1242" t="s">
        <v>15</v>
      </c>
      <c r="E1242">
        <v>15</v>
      </c>
      <c r="G1242" t="s">
        <v>16</v>
      </c>
      <c r="H1242" t="s">
        <v>32</v>
      </c>
      <c r="I1242">
        <v>150000</v>
      </c>
      <c r="J1242">
        <v>150000</v>
      </c>
      <c r="L1242" t="s">
        <v>18</v>
      </c>
    </row>
    <row r="1243" spans="1:13" x14ac:dyDescent="0.3">
      <c r="A1243">
        <v>27</v>
      </c>
      <c r="B1243" t="s">
        <v>13</v>
      </c>
      <c r="C1243" t="s">
        <v>293</v>
      </c>
      <c r="D1243" t="s">
        <v>52</v>
      </c>
      <c r="E1243">
        <v>1</v>
      </c>
      <c r="F1243">
        <v>0</v>
      </c>
      <c r="G1243" t="s">
        <v>26</v>
      </c>
      <c r="H1243" t="s">
        <v>55</v>
      </c>
      <c r="I1243">
        <v>11000</v>
      </c>
    </row>
    <row r="1244" spans="1:13" x14ac:dyDescent="0.3">
      <c r="A1244">
        <v>28</v>
      </c>
      <c r="B1244" t="s">
        <v>13</v>
      </c>
      <c r="C1244" t="s">
        <v>20</v>
      </c>
      <c r="D1244" t="s">
        <v>25</v>
      </c>
      <c r="E1244">
        <v>8</v>
      </c>
      <c r="F1244">
        <v>5</v>
      </c>
      <c r="G1244" t="s">
        <v>16</v>
      </c>
      <c r="H1244" t="s">
        <v>55</v>
      </c>
      <c r="I1244">
        <v>68000</v>
      </c>
    </row>
    <row r="1245" spans="1:13" x14ac:dyDescent="0.3">
      <c r="A1245">
        <v>30</v>
      </c>
      <c r="B1245" t="s">
        <v>13</v>
      </c>
      <c r="C1245" t="s">
        <v>184</v>
      </c>
      <c r="D1245" t="s">
        <v>21</v>
      </c>
      <c r="E1245">
        <v>2</v>
      </c>
      <c r="F1245">
        <v>0</v>
      </c>
      <c r="G1245" t="s">
        <v>28</v>
      </c>
      <c r="H1245" t="s">
        <v>31</v>
      </c>
      <c r="I1245">
        <v>12000</v>
      </c>
    </row>
    <row r="1246" spans="1:13" x14ac:dyDescent="0.3">
      <c r="A1246">
        <v>41</v>
      </c>
      <c r="B1246" t="s">
        <v>13</v>
      </c>
      <c r="C1246" t="s">
        <v>20</v>
      </c>
      <c r="D1246" t="s">
        <v>38</v>
      </c>
      <c r="E1246">
        <v>20</v>
      </c>
      <c r="F1246">
        <v>0</v>
      </c>
      <c r="G1246" t="s">
        <v>16</v>
      </c>
      <c r="H1246" t="s">
        <v>31</v>
      </c>
      <c r="I1246">
        <v>36000</v>
      </c>
      <c r="L1246" t="s">
        <v>18</v>
      </c>
    </row>
    <row r="1247" spans="1:13" x14ac:dyDescent="0.3">
      <c r="B1247" t="s">
        <v>13</v>
      </c>
      <c r="C1247" t="s">
        <v>20</v>
      </c>
      <c r="D1247" t="s">
        <v>15</v>
      </c>
      <c r="F1247">
        <v>1</v>
      </c>
      <c r="G1247" t="s">
        <v>16</v>
      </c>
      <c r="H1247" t="s">
        <v>31</v>
      </c>
      <c r="I1247">
        <v>75000</v>
      </c>
      <c r="L1247" t="s">
        <v>18</v>
      </c>
    </row>
    <row r="1248" spans="1:13" x14ac:dyDescent="0.3">
      <c r="A1248">
        <v>27</v>
      </c>
      <c r="B1248" t="s">
        <v>13</v>
      </c>
      <c r="C1248" t="s">
        <v>20</v>
      </c>
      <c r="D1248" t="s">
        <v>81</v>
      </c>
      <c r="E1248">
        <v>5</v>
      </c>
      <c r="F1248">
        <v>1</v>
      </c>
      <c r="G1248" t="s">
        <v>16</v>
      </c>
      <c r="H1248" t="s">
        <v>50</v>
      </c>
      <c r="I1248">
        <v>70000</v>
      </c>
    </row>
    <row r="1249" spans="1:9" x14ac:dyDescent="0.3">
      <c r="A1249">
        <v>21</v>
      </c>
      <c r="B1249" t="s">
        <v>33</v>
      </c>
      <c r="C1249" t="s">
        <v>84</v>
      </c>
      <c r="D1249" t="s">
        <v>43</v>
      </c>
      <c r="E1249">
        <v>2</v>
      </c>
      <c r="F1249">
        <v>2</v>
      </c>
      <c r="G1249" t="s">
        <v>28</v>
      </c>
      <c r="I1249">
        <v>50000</v>
      </c>
    </row>
    <row r="1250" spans="1:9" x14ac:dyDescent="0.3">
      <c r="C1250" t="s">
        <v>20</v>
      </c>
      <c r="D1250" t="s">
        <v>501</v>
      </c>
      <c r="I1250">
        <v>111111</v>
      </c>
    </row>
    <row r="1251" spans="1:9" x14ac:dyDescent="0.3">
      <c r="A1251">
        <v>24</v>
      </c>
      <c r="B1251" t="s">
        <v>13</v>
      </c>
      <c r="C1251" t="s">
        <v>20</v>
      </c>
      <c r="D1251" t="s">
        <v>81</v>
      </c>
      <c r="E1251">
        <v>3</v>
      </c>
      <c r="I1251">
        <v>90000</v>
      </c>
    </row>
    <row r="1252" spans="1:9" x14ac:dyDescent="0.3">
      <c r="C1252" t="s">
        <v>20</v>
      </c>
      <c r="I1252">
        <v>30000</v>
      </c>
    </row>
    <row r="1253" spans="1:9" x14ac:dyDescent="0.3">
      <c r="C1253" t="s">
        <v>14</v>
      </c>
      <c r="I1253">
        <v>70000</v>
      </c>
    </row>
    <row r="1254" spans="1:9" x14ac:dyDescent="0.3">
      <c r="C1254" t="s">
        <v>20</v>
      </c>
    </row>
  </sheetData>
  <phoneticPr fontId="22"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536CB-1A1D-439B-9919-B517B30BA4B6}">
  <dimension ref="B5:H27"/>
  <sheetViews>
    <sheetView showGridLines="0" workbookViewId="0">
      <selection activeCell="H21" sqref="H21"/>
    </sheetView>
  </sheetViews>
  <sheetFormatPr defaultRowHeight="14.4" x14ac:dyDescent="0.3"/>
  <cols>
    <col min="2" max="2" width="34.6640625" bestFit="1" customWidth="1"/>
    <col min="3" max="3" width="9.88671875" bestFit="1" customWidth="1"/>
    <col min="4" max="4" width="9.5546875" bestFit="1" customWidth="1"/>
    <col min="5" max="5" width="12.5546875" bestFit="1" customWidth="1"/>
    <col min="7" max="7" width="17.5546875" customWidth="1"/>
    <col min="8" max="8" width="24.44140625" customWidth="1"/>
  </cols>
  <sheetData>
    <row r="5" spans="2:8" x14ac:dyDescent="0.3">
      <c r="B5" s="144" t="s">
        <v>542</v>
      </c>
      <c r="C5" s="145"/>
      <c r="D5" s="145"/>
      <c r="E5" s="146"/>
      <c r="G5" s="138" t="s">
        <v>541</v>
      </c>
      <c r="H5" s="139"/>
    </row>
    <row r="6" spans="2:8" x14ac:dyDescent="0.3">
      <c r="B6" s="147"/>
      <c r="C6" s="137"/>
      <c r="D6" s="137"/>
      <c r="E6" s="148"/>
      <c r="G6" s="140"/>
      <c r="H6" s="141"/>
    </row>
    <row r="7" spans="2:8" x14ac:dyDescent="0.3">
      <c r="B7" s="61" t="s">
        <v>495</v>
      </c>
      <c r="C7" s="62" t="s">
        <v>427</v>
      </c>
      <c r="D7" s="63" t="s">
        <v>428</v>
      </c>
      <c r="E7" s="64" t="s">
        <v>429</v>
      </c>
      <c r="G7" s="142"/>
      <c r="H7" s="143"/>
    </row>
    <row r="8" spans="2:8" x14ac:dyDescent="0.3">
      <c r="B8" s="70" t="s">
        <v>50</v>
      </c>
      <c r="C8" s="30">
        <f>COUNTIF(Tabela1[Your main technology / programming language],B8)</f>
        <v>227</v>
      </c>
      <c r="D8" s="35">
        <f t="shared" ref="D8:D23" si="0">C8/$C$27</f>
        <v>0.20177777777777778</v>
      </c>
      <c r="E8" s="65">
        <f>D8*100</f>
        <v>20.177777777777777</v>
      </c>
      <c r="G8" s="77" t="s">
        <v>487</v>
      </c>
      <c r="H8" s="78" t="s">
        <v>50</v>
      </c>
    </row>
    <row r="9" spans="2:8" x14ac:dyDescent="0.3">
      <c r="B9" s="45" t="s">
        <v>32</v>
      </c>
      <c r="C9" s="30">
        <f>COUNTIF(Tabela1[Your main technology / programming language],B9)</f>
        <v>213</v>
      </c>
      <c r="D9" s="35">
        <f t="shared" si="0"/>
        <v>0.18933333333333333</v>
      </c>
      <c r="E9" s="65">
        <f t="shared" ref="E9:E27" si="1">D9*100</f>
        <v>18.933333333333334</v>
      </c>
    </row>
    <row r="10" spans="2:8" ht="14.4" customHeight="1" x14ac:dyDescent="0.3">
      <c r="B10" s="45" t="s">
        <v>55</v>
      </c>
      <c r="C10" s="30">
        <f>COUNTIF(Tabela1[Your main technology / programming language],B10)</f>
        <v>118</v>
      </c>
      <c r="D10" s="35">
        <f t="shared" si="0"/>
        <v>0.10488888888888889</v>
      </c>
      <c r="E10" s="65">
        <f t="shared" si="1"/>
        <v>10.488888888888889</v>
      </c>
    </row>
    <row r="11" spans="2:8" x14ac:dyDescent="0.3">
      <c r="B11" s="45" t="s">
        <v>31</v>
      </c>
      <c r="C11" s="30">
        <f>COUNTIF(Tabela1[Your main technology / programming language],B11)</f>
        <v>73</v>
      </c>
      <c r="D11" s="35">
        <f t="shared" si="0"/>
        <v>6.4888888888888885E-2</v>
      </c>
      <c r="E11" s="65">
        <f t="shared" si="1"/>
        <v>6.4888888888888889</v>
      </c>
    </row>
    <row r="12" spans="2:8" x14ac:dyDescent="0.3">
      <c r="B12" s="45" t="s">
        <v>37</v>
      </c>
      <c r="C12" s="30">
        <f>COUNTIF(Tabela1[Your main technology / programming language],B12)</f>
        <v>45</v>
      </c>
      <c r="D12" s="35">
        <f t="shared" si="0"/>
        <v>0.04</v>
      </c>
      <c r="E12" s="65">
        <f t="shared" si="1"/>
        <v>4</v>
      </c>
    </row>
    <row r="13" spans="2:8" x14ac:dyDescent="0.3">
      <c r="B13" s="45" t="s">
        <v>64</v>
      </c>
      <c r="C13" s="30">
        <f>COUNTIF(Tabela1[Your main technology / programming language],B13)</f>
        <v>35</v>
      </c>
      <c r="D13" s="35">
        <f t="shared" si="0"/>
        <v>3.111111111111111E-2</v>
      </c>
      <c r="E13" s="65">
        <f t="shared" si="1"/>
        <v>3.1111111111111112</v>
      </c>
    </row>
    <row r="14" spans="2:8" x14ac:dyDescent="0.3">
      <c r="B14" s="45" t="s">
        <v>80</v>
      </c>
      <c r="C14" s="30">
        <f>COUNTIF(Tabela1[Your main technology / programming language],B14)</f>
        <v>30</v>
      </c>
      <c r="D14" s="35">
        <f t="shared" si="0"/>
        <v>2.6666666666666668E-2</v>
      </c>
      <c r="E14" s="65">
        <f t="shared" si="1"/>
        <v>2.666666666666667</v>
      </c>
    </row>
    <row r="15" spans="2:8" x14ac:dyDescent="0.3">
      <c r="B15" s="45" t="s">
        <v>29</v>
      </c>
      <c r="C15" s="30">
        <f>COUNTIF(Tabela1[Your main technology / programming language],B15)</f>
        <v>31</v>
      </c>
      <c r="D15" s="35">
        <f t="shared" si="0"/>
        <v>2.7555555555555555E-2</v>
      </c>
      <c r="E15" s="65">
        <f t="shared" si="1"/>
        <v>2.7555555555555555</v>
      </c>
    </row>
    <row r="16" spans="2:8" x14ac:dyDescent="0.3">
      <c r="B16" s="45" t="s">
        <v>71</v>
      </c>
      <c r="C16" s="30">
        <f>COUNTIF(Tabela1[Your main technology / programming language],B16)</f>
        <v>28</v>
      </c>
      <c r="D16" s="35">
        <f t="shared" si="0"/>
        <v>2.4888888888888887E-2</v>
      </c>
      <c r="E16" s="65">
        <f t="shared" si="1"/>
        <v>2.4888888888888889</v>
      </c>
    </row>
    <row r="17" spans="2:5" x14ac:dyDescent="0.3">
      <c r="B17" s="45" t="s">
        <v>40</v>
      </c>
      <c r="C17" s="30">
        <f>COUNTIF(Tabela1[Your main technology / programming language],B17)</f>
        <v>27</v>
      </c>
      <c r="D17" s="35">
        <f t="shared" si="0"/>
        <v>2.4E-2</v>
      </c>
      <c r="E17" s="65">
        <f t="shared" si="1"/>
        <v>2.4</v>
      </c>
    </row>
    <row r="18" spans="2:5" x14ac:dyDescent="0.3">
      <c r="B18" s="45" t="s">
        <v>448</v>
      </c>
      <c r="C18" s="30">
        <f>COUNTIF(Tabela1[Your main technology / programming language],B18)</f>
        <v>27</v>
      </c>
      <c r="D18" s="35">
        <f t="shared" si="0"/>
        <v>2.4E-2</v>
      </c>
      <c r="E18" s="65">
        <f t="shared" si="1"/>
        <v>2.4</v>
      </c>
    </row>
    <row r="19" spans="2:5" x14ac:dyDescent="0.3">
      <c r="B19" s="45" t="s">
        <v>58</v>
      </c>
      <c r="C19" s="30">
        <f>COUNTIF(Tabela1[Your main technology / programming language],B19)</f>
        <v>25</v>
      </c>
      <c r="D19" s="35">
        <f t="shared" si="0"/>
        <v>2.2222222222222223E-2</v>
      </c>
      <c r="E19" s="65">
        <f t="shared" si="1"/>
        <v>2.2222222222222223</v>
      </c>
    </row>
    <row r="20" spans="2:5" x14ac:dyDescent="0.3">
      <c r="B20" s="45" t="s">
        <v>22</v>
      </c>
      <c r="C20" s="30">
        <f>COUNTIF(Tabela1[Your main technology / programming language],B20)</f>
        <v>23</v>
      </c>
      <c r="D20" s="35">
        <f t="shared" si="0"/>
        <v>2.0444444444444446E-2</v>
      </c>
      <c r="E20" s="65">
        <f t="shared" si="1"/>
        <v>2.0444444444444447</v>
      </c>
    </row>
    <row r="21" spans="2:5" x14ac:dyDescent="0.3">
      <c r="B21" s="45" t="s">
        <v>42</v>
      </c>
      <c r="C21" s="30">
        <f>COUNTIF(Tabela1[Your main technology / programming language],B21)</f>
        <v>19</v>
      </c>
      <c r="D21" s="35">
        <f t="shared" si="0"/>
        <v>1.6888888888888887E-2</v>
      </c>
      <c r="E21" s="65">
        <f t="shared" si="1"/>
        <v>1.6888888888888887</v>
      </c>
    </row>
    <row r="22" spans="2:5" x14ac:dyDescent="0.3">
      <c r="B22" s="45" t="s">
        <v>111</v>
      </c>
      <c r="C22" s="30">
        <f>COUNTIF(Tabela1[Your main technology / programming language],B22)</f>
        <v>16</v>
      </c>
      <c r="D22" s="35">
        <f t="shared" si="0"/>
        <v>1.4222222222222223E-2</v>
      </c>
      <c r="E22" s="65">
        <f>D22*100</f>
        <v>1.4222222222222223</v>
      </c>
    </row>
    <row r="23" spans="2:5" x14ac:dyDescent="0.3">
      <c r="B23" s="45" t="s">
        <v>46</v>
      </c>
      <c r="C23" s="30">
        <f>COUNTIF(Tabela1[Your main technology / programming language],B23)</f>
        <v>10</v>
      </c>
      <c r="D23" s="35">
        <f t="shared" si="0"/>
        <v>8.8888888888888889E-3</v>
      </c>
      <c r="E23" s="65">
        <f>D23*100</f>
        <v>0.88888888888888884</v>
      </c>
    </row>
    <row r="24" spans="2:5" x14ac:dyDescent="0.3">
      <c r="B24" s="45" t="s">
        <v>79</v>
      </c>
      <c r="C24" s="30">
        <f>COUNTIF(Tabela1[Your main technology / programming language],B24)</f>
        <v>10</v>
      </c>
      <c r="D24" s="35">
        <f t="shared" ref="D24" si="2">C24/$C$27</f>
        <v>8.8888888888888889E-3</v>
      </c>
      <c r="E24" s="65">
        <f t="shared" ref="E24" si="3">D24*100</f>
        <v>0.88888888888888884</v>
      </c>
    </row>
    <row r="25" spans="2:5" x14ac:dyDescent="0.3">
      <c r="B25" s="45" t="s">
        <v>124</v>
      </c>
      <c r="C25" s="30">
        <f>COUNTIF(Tabela1[Your main technology / programming language],B25)</f>
        <v>9</v>
      </c>
      <c r="D25" s="35">
        <f>C25/$C$27</f>
        <v>8.0000000000000002E-3</v>
      </c>
      <c r="E25" s="65">
        <f>D25*100</f>
        <v>0.8</v>
      </c>
    </row>
    <row r="26" spans="2:5" x14ac:dyDescent="0.3">
      <c r="B26" s="45" t="s">
        <v>449</v>
      </c>
      <c r="C26" s="30">
        <f>C27-SUM(C8:C25)</f>
        <v>159</v>
      </c>
      <c r="D26" s="35">
        <f>C26/$C$27</f>
        <v>0.14133333333333334</v>
      </c>
      <c r="E26" s="65">
        <f t="shared" si="1"/>
        <v>14.133333333333335</v>
      </c>
    </row>
    <row r="27" spans="2:5" x14ac:dyDescent="0.3">
      <c r="B27" s="52" t="s">
        <v>425</v>
      </c>
      <c r="C27" s="57">
        <v>1125</v>
      </c>
      <c r="D27" s="58">
        <f>C27/$C$27</f>
        <v>1</v>
      </c>
      <c r="E27" s="66">
        <f t="shared" si="1"/>
        <v>100</v>
      </c>
    </row>
  </sheetData>
  <mergeCells count="2">
    <mergeCell ref="B5:E6"/>
    <mergeCell ref="G5:H7"/>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EB52-2318-4D9C-9031-9375A3811D7D}">
  <dimension ref="B3:Q1253"/>
  <sheetViews>
    <sheetView showGridLines="0" topLeftCell="A13" workbookViewId="0">
      <selection activeCell="I36" sqref="I36"/>
    </sheetView>
  </sheetViews>
  <sheetFormatPr defaultRowHeight="14.4" x14ac:dyDescent="0.3"/>
  <cols>
    <col min="2" max="2" width="22.77734375" customWidth="1"/>
    <col min="3" max="3" width="9.88671875" bestFit="1" customWidth="1"/>
    <col min="4" max="4" width="9.5546875" bestFit="1" customWidth="1"/>
    <col min="5" max="5" width="11.77734375" bestFit="1" customWidth="1"/>
    <col min="7" max="7" width="15" customWidth="1"/>
    <col min="8" max="8" width="17.33203125" customWidth="1"/>
    <col min="17" max="17" width="47.44140625" bestFit="1" customWidth="1"/>
  </cols>
  <sheetData>
    <row r="3" spans="2:17" x14ac:dyDescent="0.3">
      <c r="Q3" s="2" t="s">
        <v>8</v>
      </c>
    </row>
    <row r="4" spans="2:17" x14ac:dyDescent="0.3">
      <c r="B4" s="144" t="s">
        <v>543</v>
      </c>
      <c r="C4" s="145"/>
      <c r="D4" s="145"/>
      <c r="E4" s="146"/>
      <c r="Q4" s="3">
        <v>10001</v>
      </c>
    </row>
    <row r="5" spans="2:17" x14ac:dyDescent="0.3">
      <c r="B5" s="147"/>
      <c r="C5" s="137"/>
      <c r="D5" s="137"/>
      <c r="E5" s="148"/>
      <c r="G5" s="138" t="s">
        <v>544</v>
      </c>
      <c r="H5" s="139"/>
      <c r="Q5" s="4">
        <v>10001</v>
      </c>
    </row>
    <row r="6" spans="2:17" x14ac:dyDescent="0.3">
      <c r="B6" s="61" t="s">
        <v>496</v>
      </c>
      <c r="C6" s="62" t="s">
        <v>427</v>
      </c>
      <c r="D6" s="63" t="s">
        <v>428</v>
      </c>
      <c r="E6" s="64" t="s">
        <v>429</v>
      </c>
      <c r="G6" s="140"/>
      <c r="H6" s="141"/>
      <c r="Q6" s="3">
        <v>10164</v>
      </c>
    </row>
    <row r="7" spans="2:17" x14ac:dyDescent="0.3">
      <c r="B7" s="67" t="s">
        <v>450</v>
      </c>
      <c r="C7" s="49">
        <f>COUNTIFS(Tabela1[Yearly brutto salary (without bonus and stocks) in EUR],"&gt;=10000",Tabela1[Yearly brutto salary (without bonus and stocks) in EUR],"&lt;30000")</f>
        <v>32</v>
      </c>
      <c r="D7" s="50">
        <f t="shared" ref="D7:D17" si="0">C7/$C$17</f>
        <v>2.5806451612903226E-2</v>
      </c>
      <c r="E7" s="51">
        <f>D7*100</f>
        <v>2.5806451612903225</v>
      </c>
      <c r="G7" s="142"/>
      <c r="H7" s="143"/>
      <c r="Q7" s="4">
        <v>11000</v>
      </c>
    </row>
    <row r="8" spans="2:17" x14ac:dyDescent="0.3">
      <c r="B8" s="68" t="s">
        <v>451</v>
      </c>
      <c r="C8" s="49">
        <f>COUNTIFS(Tabela1[Yearly brutto salary (without bonus and stocks) in EUR],"&gt;=30000",Tabela1[Yearly brutto salary (without bonus and stocks) in EUR],"&lt;50000")</f>
        <v>113</v>
      </c>
      <c r="D8" s="50">
        <f t="shared" si="0"/>
        <v>9.1129032258064513E-2</v>
      </c>
      <c r="E8" s="51">
        <f t="shared" ref="E8:E17" si="1">D8*100</f>
        <v>9.112903225806452</v>
      </c>
      <c r="G8" s="34" t="s">
        <v>487</v>
      </c>
      <c r="H8" s="15">
        <f>_xlfn.MODE.SNGL(Tabela1[Yearly brutto salary (without bonus and stocks) in EUR])</f>
        <v>60000</v>
      </c>
      <c r="Q8" s="3">
        <v>11500</v>
      </c>
    </row>
    <row r="9" spans="2:17" x14ac:dyDescent="0.3">
      <c r="B9" s="68" t="s">
        <v>452</v>
      </c>
      <c r="C9" s="49">
        <f>COUNTIFS(Tabela1[Yearly brutto salary (without bonus and stocks) in EUR],"&gt;=50000",Tabela1[Yearly brutto salary (without bonus and stocks) in EUR],"&lt;70000")</f>
        <v>472</v>
      </c>
      <c r="D9" s="50">
        <f t="shared" si="0"/>
        <v>0.38064516129032255</v>
      </c>
      <c r="E9" s="51">
        <f t="shared" si="1"/>
        <v>38.064516129032256</v>
      </c>
      <c r="G9" s="20" t="s">
        <v>482</v>
      </c>
      <c r="H9" s="15">
        <f>AVERAGE(Tabela1[Yearly brutto salary (without bonus and stocks) in EUR])</f>
        <v>71032.281703999994</v>
      </c>
      <c r="Q9" s="4">
        <v>12000</v>
      </c>
    </row>
    <row r="10" spans="2:17" ht="13.8" customHeight="1" x14ac:dyDescent="0.3">
      <c r="B10" s="68" t="s">
        <v>458</v>
      </c>
      <c r="C10" s="49">
        <f>COUNTIFS(Tabela1[Yearly brutto salary (without bonus and stocks) in EUR],"&gt;=70000",Tabela1[Yearly brutto salary (without bonus and stocks) in EUR],"&lt;90000")</f>
        <v>440</v>
      </c>
      <c r="D10" s="50">
        <f t="shared" si="0"/>
        <v>0.35483870967741937</v>
      </c>
      <c r="E10" s="51">
        <f t="shared" si="1"/>
        <v>35.483870967741936</v>
      </c>
      <c r="G10" s="20" t="s">
        <v>483</v>
      </c>
      <c r="H10" s="15">
        <f>MEDIAN(Tabela1[Yearly brutto salary (without bonus and stocks) in EUR])</f>
        <v>70000</v>
      </c>
      <c r="Q10" s="3">
        <v>12000</v>
      </c>
    </row>
    <row r="11" spans="2:17" x14ac:dyDescent="0.3">
      <c r="B11" s="68" t="s">
        <v>453</v>
      </c>
      <c r="C11" s="49">
        <f>COUNTIFS(Tabela1[Yearly brutto salary (without bonus and stocks) in EUR],"&gt;=90000",Tabela1[Yearly brutto salary (without bonus and stocks) in EUR],"&lt;110000")</f>
        <v>131</v>
      </c>
      <c r="D11" s="50">
        <f t="shared" si="0"/>
        <v>0.10564516129032259</v>
      </c>
      <c r="E11" s="51">
        <f t="shared" si="1"/>
        <v>10.564516129032258</v>
      </c>
      <c r="G11" s="20" t="s">
        <v>484</v>
      </c>
      <c r="H11" s="81">
        <f>_xlfn.VAR.P(Tabela1[Yearly brutto salary (without bonus and stocks) in EUR])</f>
        <v>591994449.06323266</v>
      </c>
      <c r="Q11" s="4">
        <v>13000</v>
      </c>
    </row>
    <row r="12" spans="2:17" x14ac:dyDescent="0.3">
      <c r="B12" s="68" t="s">
        <v>454</v>
      </c>
      <c r="C12" s="49">
        <f>COUNTIFS(Tabela1[Yearly brutto salary (without bonus and stocks) in EUR],"&gt;=110000",Tabela1[Yearly brutto salary (without bonus and stocks) in EUR],"&lt;130000")</f>
        <v>33</v>
      </c>
      <c r="D12" s="50">
        <f t="shared" si="0"/>
        <v>2.661290322580645E-2</v>
      </c>
      <c r="E12" s="51">
        <f t="shared" si="1"/>
        <v>2.661290322580645</v>
      </c>
      <c r="G12" s="20" t="s">
        <v>485</v>
      </c>
      <c r="H12" s="81">
        <f>_xlfn.STDEV.P(Tabela1[Yearly brutto salary (without bonus and stocks) in EUR])</f>
        <v>24330.936049877586</v>
      </c>
      <c r="Q12" s="3">
        <v>14400</v>
      </c>
    </row>
    <row r="13" spans="2:17" x14ac:dyDescent="0.3">
      <c r="B13" s="68" t="s">
        <v>455</v>
      </c>
      <c r="C13" s="49">
        <f>COUNTIFS(Tabela1[Yearly brutto salary (without bonus and stocks) in EUR],"&gt;=130000",Tabela1[Yearly brutto salary (without bonus and stocks) in EUR],"&lt;150000")</f>
        <v>9</v>
      </c>
      <c r="D13" s="50">
        <f t="shared" si="0"/>
        <v>7.2580645161290326E-3</v>
      </c>
      <c r="E13" s="51">
        <f t="shared" si="1"/>
        <v>0.72580645161290325</v>
      </c>
      <c r="G13" s="18" t="s">
        <v>486</v>
      </c>
      <c r="H13" s="82">
        <f>AVEDEV(Tabela1[Yearly brutto salary (without bonus and stocks) in EUR])</f>
        <v>16063.889407743984</v>
      </c>
      <c r="Q13" s="4">
        <v>14712</v>
      </c>
    </row>
    <row r="14" spans="2:17" x14ac:dyDescent="0.3">
      <c r="B14" s="68" t="s">
        <v>456</v>
      </c>
      <c r="C14" s="49">
        <f>COUNTIFS(Tabela1[Yearly brutto salary (without bonus and stocks) in EUR],"&gt;=170000",Tabela1[Yearly brutto salary (without bonus and stocks) in EUR],"&lt;190000")</f>
        <v>3</v>
      </c>
      <c r="D14" s="50">
        <f t="shared" si="0"/>
        <v>2.4193548387096775E-3</v>
      </c>
      <c r="E14" s="51">
        <f t="shared" si="1"/>
        <v>0.24193548387096775</v>
      </c>
      <c r="Q14" s="3">
        <v>16320</v>
      </c>
    </row>
    <row r="15" spans="2:17" x14ac:dyDescent="0.3">
      <c r="B15" s="68" t="s">
        <v>457</v>
      </c>
      <c r="C15" s="49">
        <f>COUNTIFS(Tabela1[Yearly brutto salary (without bonus and stocks) in EUR],"&gt;=190000",Tabela1[Yearly brutto salary (without bonus and stocks) in EUR],"&lt;210000")</f>
        <v>4</v>
      </c>
      <c r="D15" s="50">
        <f t="shared" si="0"/>
        <v>3.2258064516129032E-3</v>
      </c>
      <c r="E15" s="51">
        <f t="shared" si="1"/>
        <v>0.32258064516129031</v>
      </c>
      <c r="Q15" s="4">
        <v>17500</v>
      </c>
    </row>
    <row r="16" spans="2:17" x14ac:dyDescent="0.3">
      <c r="B16" s="68" t="s">
        <v>502</v>
      </c>
      <c r="C16" s="49">
        <v>3</v>
      </c>
      <c r="D16" s="50">
        <f t="shared" si="0"/>
        <v>2.4193548387096775E-3</v>
      </c>
      <c r="E16" s="51">
        <f t="shared" si="1"/>
        <v>0.24193548387096775</v>
      </c>
      <c r="Q16" s="3">
        <v>18700</v>
      </c>
    </row>
    <row r="17" spans="2:17" x14ac:dyDescent="0.3">
      <c r="B17" s="69" t="s">
        <v>425</v>
      </c>
      <c r="C17" s="53">
        <f>SUM(C7:C16)</f>
        <v>1240</v>
      </c>
      <c r="D17" s="53">
        <f t="shared" si="0"/>
        <v>1</v>
      </c>
      <c r="E17" s="54">
        <f t="shared" si="1"/>
        <v>100</v>
      </c>
      <c r="Q17" s="4">
        <v>20000</v>
      </c>
    </row>
    <row r="18" spans="2:17" x14ac:dyDescent="0.3">
      <c r="Q18" s="3">
        <v>20000</v>
      </c>
    </row>
    <row r="19" spans="2:17" x14ac:dyDescent="0.3">
      <c r="Q19" s="4">
        <v>20000</v>
      </c>
    </row>
    <row r="20" spans="2:17" x14ac:dyDescent="0.3">
      <c r="Q20" s="3">
        <v>20000</v>
      </c>
    </row>
    <row r="21" spans="2:17" x14ac:dyDescent="0.3">
      <c r="Q21" s="4">
        <v>21000</v>
      </c>
    </row>
    <row r="22" spans="2:17" x14ac:dyDescent="0.3">
      <c r="Q22" s="3">
        <v>21120</v>
      </c>
    </row>
    <row r="23" spans="2:17" x14ac:dyDescent="0.3">
      <c r="Q23" s="4">
        <v>22000</v>
      </c>
    </row>
    <row r="24" spans="2:17" x14ac:dyDescent="0.3">
      <c r="Q24" s="3">
        <v>23000</v>
      </c>
    </row>
    <row r="25" spans="2:17" x14ac:dyDescent="0.3">
      <c r="Q25" s="4">
        <v>24000</v>
      </c>
    </row>
    <row r="26" spans="2:17" x14ac:dyDescent="0.3">
      <c r="Q26" s="3">
        <v>24000</v>
      </c>
    </row>
    <row r="27" spans="2:17" x14ac:dyDescent="0.3">
      <c r="Q27" s="4">
        <v>25000</v>
      </c>
    </row>
    <row r="28" spans="2:17" x14ac:dyDescent="0.3">
      <c r="Q28" s="3">
        <v>25000</v>
      </c>
    </row>
    <row r="29" spans="2:17" x14ac:dyDescent="0.3">
      <c r="Q29" s="4">
        <v>25300</v>
      </c>
    </row>
    <row r="30" spans="2:17" x14ac:dyDescent="0.3">
      <c r="Q30" s="3">
        <v>26400</v>
      </c>
    </row>
    <row r="31" spans="2:17" x14ac:dyDescent="0.3">
      <c r="Q31" s="4">
        <v>27000</v>
      </c>
    </row>
    <row r="32" spans="2:17" x14ac:dyDescent="0.3">
      <c r="Q32" s="3">
        <v>27000</v>
      </c>
    </row>
    <row r="33" spans="17:17" x14ac:dyDescent="0.3">
      <c r="Q33" s="4">
        <v>28000</v>
      </c>
    </row>
    <row r="34" spans="17:17" x14ac:dyDescent="0.3">
      <c r="Q34" s="3">
        <v>28800</v>
      </c>
    </row>
    <row r="35" spans="17:17" x14ac:dyDescent="0.3">
      <c r="Q35" s="4">
        <v>29000</v>
      </c>
    </row>
    <row r="36" spans="17:17" x14ac:dyDescent="0.3">
      <c r="Q36" s="3">
        <v>30000</v>
      </c>
    </row>
    <row r="37" spans="17:17" x14ac:dyDescent="0.3">
      <c r="Q37" s="4">
        <v>30000</v>
      </c>
    </row>
    <row r="38" spans="17:17" x14ac:dyDescent="0.3">
      <c r="Q38" s="3">
        <v>30000</v>
      </c>
    </row>
    <row r="39" spans="17:17" x14ac:dyDescent="0.3">
      <c r="Q39" s="4">
        <v>30000</v>
      </c>
    </row>
    <row r="40" spans="17:17" x14ac:dyDescent="0.3">
      <c r="Q40" s="3">
        <v>30000</v>
      </c>
    </row>
    <row r="41" spans="17:17" x14ac:dyDescent="0.3">
      <c r="Q41" s="4">
        <v>30000</v>
      </c>
    </row>
    <row r="42" spans="17:17" x14ac:dyDescent="0.3">
      <c r="Q42" s="3">
        <v>30000</v>
      </c>
    </row>
    <row r="43" spans="17:17" x14ac:dyDescent="0.3">
      <c r="Q43" s="4">
        <v>30000</v>
      </c>
    </row>
    <row r="44" spans="17:17" x14ac:dyDescent="0.3">
      <c r="Q44" s="3">
        <v>32000</v>
      </c>
    </row>
    <row r="45" spans="17:17" x14ac:dyDescent="0.3">
      <c r="Q45" s="4">
        <v>32000</v>
      </c>
    </row>
    <row r="46" spans="17:17" x14ac:dyDescent="0.3">
      <c r="Q46" s="3">
        <v>32000</v>
      </c>
    </row>
    <row r="47" spans="17:17" x14ac:dyDescent="0.3">
      <c r="Q47" s="4">
        <v>33000</v>
      </c>
    </row>
    <row r="48" spans="17:17" x14ac:dyDescent="0.3">
      <c r="Q48" s="3">
        <v>34000</v>
      </c>
    </row>
    <row r="49" spans="17:17" x14ac:dyDescent="0.3">
      <c r="Q49" s="4">
        <v>35000</v>
      </c>
    </row>
    <row r="50" spans="17:17" x14ac:dyDescent="0.3">
      <c r="Q50" s="3">
        <v>35000</v>
      </c>
    </row>
    <row r="51" spans="17:17" x14ac:dyDescent="0.3">
      <c r="Q51" s="4">
        <v>35000</v>
      </c>
    </row>
    <row r="52" spans="17:17" x14ac:dyDescent="0.3">
      <c r="Q52" s="3">
        <v>36000</v>
      </c>
    </row>
    <row r="53" spans="17:17" x14ac:dyDescent="0.3">
      <c r="Q53" s="4">
        <v>36000</v>
      </c>
    </row>
    <row r="54" spans="17:17" x14ac:dyDescent="0.3">
      <c r="Q54" s="3">
        <v>36000</v>
      </c>
    </row>
    <row r="55" spans="17:17" x14ac:dyDescent="0.3">
      <c r="Q55" s="4">
        <v>36000</v>
      </c>
    </row>
    <row r="56" spans="17:17" x14ac:dyDescent="0.3">
      <c r="Q56" s="3">
        <v>36000</v>
      </c>
    </row>
    <row r="57" spans="17:17" x14ac:dyDescent="0.3">
      <c r="Q57" s="4">
        <v>37000</v>
      </c>
    </row>
    <row r="58" spans="17:17" x14ac:dyDescent="0.3">
      <c r="Q58" s="3">
        <v>37500</v>
      </c>
    </row>
    <row r="59" spans="17:17" x14ac:dyDescent="0.3">
      <c r="Q59" s="4">
        <v>37500</v>
      </c>
    </row>
    <row r="60" spans="17:17" x14ac:dyDescent="0.3">
      <c r="Q60" s="3">
        <v>37500</v>
      </c>
    </row>
    <row r="61" spans="17:17" x14ac:dyDescent="0.3">
      <c r="Q61" s="4">
        <v>38000</v>
      </c>
    </row>
    <row r="62" spans="17:17" x14ac:dyDescent="0.3">
      <c r="Q62" s="3">
        <v>38350</v>
      </c>
    </row>
    <row r="63" spans="17:17" x14ac:dyDescent="0.3">
      <c r="Q63" s="4">
        <v>39000</v>
      </c>
    </row>
    <row r="64" spans="17:17" x14ac:dyDescent="0.3">
      <c r="Q64" s="3">
        <v>40000</v>
      </c>
    </row>
    <row r="65" spans="17:17" x14ac:dyDescent="0.3">
      <c r="Q65" s="4">
        <v>40000</v>
      </c>
    </row>
    <row r="66" spans="17:17" x14ac:dyDescent="0.3">
      <c r="Q66" s="3">
        <v>40000</v>
      </c>
    </row>
    <row r="67" spans="17:17" x14ac:dyDescent="0.3">
      <c r="Q67" s="4">
        <v>40000</v>
      </c>
    </row>
    <row r="68" spans="17:17" x14ac:dyDescent="0.3">
      <c r="Q68" s="3">
        <v>40000</v>
      </c>
    </row>
    <row r="69" spans="17:17" x14ac:dyDescent="0.3">
      <c r="Q69" s="4">
        <v>40000</v>
      </c>
    </row>
    <row r="70" spans="17:17" x14ac:dyDescent="0.3">
      <c r="Q70" s="3">
        <v>40700</v>
      </c>
    </row>
    <row r="71" spans="17:17" x14ac:dyDescent="0.3">
      <c r="Q71" s="4">
        <v>40800</v>
      </c>
    </row>
    <row r="72" spans="17:17" x14ac:dyDescent="0.3">
      <c r="Q72" s="3">
        <v>42000</v>
      </c>
    </row>
    <row r="73" spans="17:17" x14ac:dyDescent="0.3">
      <c r="Q73" s="4">
        <v>42000</v>
      </c>
    </row>
    <row r="74" spans="17:17" x14ac:dyDescent="0.3">
      <c r="Q74" s="3">
        <v>42000</v>
      </c>
    </row>
    <row r="75" spans="17:17" x14ac:dyDescent="0.3">
      <c r="Q75" s="4">
        <v>42000</v>
      </c>
    </row>
    <row r="76" spans="17:17" x14ac:dyDescent="0.3">
      <c r="Q76" s="3">
        <v>42000</v>
      </c>
    </row>
    <row r="77" spans="17:17" x14ac:dyDescent="0.3">
      <c r="Q77" s="4">
        <v>42000</v>
      </c>
    </row>
    <row r="78" spans="17:17" x14ac:dyDescent="0.3">
      <c r="Q78" s="3">
        <v>42000</v>
      </c>
    </row>
    <row r="79" spans="17:17" x14ac:dyDescent="0.3">
      <c r="Q79" s="4">
        <v>42000</v>
      </c>
    </row>
    <row r="80" spans="17:17" x14ac:dyDescent="0.3">
      <c r="Q80" s="3">
        <v>42000</v>
      </c>
    </row>
    <row r="81" spans="17:17" x14ac:dyDescent="0.3">
      <c r="Q81" s="4">
        <v>42000</v>
      </c>
    </row>
    <row r="82" spans="17:17" x14ac:dyDescent="0.3">
      <c r="Q82" s="3">
        <v>43000</v>
      </c>
    </row>
    <row r="83" spans="17:17" x14ac:dyDescent="0.3">
      <c r="Q83" s="4">
        <v>43000</v>
      </c>
    </row>
    <row r="84" spans="17:17" x14ac:dyDescent="0.3">
      <c r="Q84" s="3">
        <v>43000</v>
      </c>
    </row>
    <row r="85" spans="17:17" x14ac:dyDescent="0.3">
      <c r="Q85" s="4">
        <v>43500</v>
      </c>
    </row>
    <row r="86" spans="17:17" x14ac:dyDescent="0.3">
      <c r="Q86" s="3">
        <v>44000</v>
      </c>
    </row>
    <row r="87" spans="17:17" x14ac:dyDescent="0.3">
      <c r="Q87" s="4">
        <v>44000</v>
      </c>
    </row>
    <row r="88" spans="17:17" x14ac:dyDescent="0.3">
      <c r="Q88" s="3">
        <v>44000</v>
      </c>
    </row>
    <row r="89" spans="17:17" x14ac:dyDescent="0.3">
      <c r="Q89" s="4">
        <v>44000</v>
      </c>
    </row>
    <row r="90" spans="17:17" x14ac:dyDescent="0.3">
      <c r="Q90" s="3">
        <v>44000</v>
      </c>
    </row>
    <row r="91" spans="17:17" x14ac:dyDescent="0.3">
      <c r="Q91" s="4">
        <v>45000</v>
      </c>
    </row>
    <row r="92" spans="17:17" x14ac:dyDescent="0.3">
      <c r="Q92" s="3">
        <v>45000</v>
      </c>
    </row>
    <row r="93" spans="17:17" x14ac:dyDescent="0.3">
      <c r="Q93" s="4">
        <v>45000</v>
      </c>
    </row>
    <row r="94" spans="17:17" x14ac:dyDescent="0.3">
      <c r="Q94" s="3">
        <v>45000</v>
      </c>
    </row>
    <row r="95" spans="17:17" x14ac:dyDescent="0.3">
      <c r="Q95" s="4">
        <v>45000</v>
      </c>
    </row>
    <row r="96" spans="17:17" x14ac:dyDescent="0.3">
      <c r="Q96" s="3">
        <v>45000</v>
      </c>
    </row>
    <row r="97" spans="17:17" x14ac:dyDescent="0.3">
      <c r="Q97" s="4">
        <v>45000</v>
      </c>
    </row>
    <row r="98" spans="17:17" x14ac:dyDescent="0.3">
      <c r="Q98" s="3">
        <v>45000</v>
      </c>
    </row>
    <row r="99" spans="17:17" x14ac:dyDescent="0.3">
      <c r="Q99" s="4">
        <v>45000</v>
      </c>
    </row>
    <row r="100" spans="17:17" x14ac:dyDescent="0.3">
      <c r="Q100" s="3">
        <v>45000</v>
      </c>
    </row>
    <row r="101" spans="17:17" x14ac:dyDescent="0.3">
      <c r="Q101" s="4">
        <v>45000</v>
      </c>
    </row>
    <row r="102" spans="17:17" x14ac:dyDescent="0.3">
      <c r="Q102" s="3">
        <v>45000</v>
      </c>
    </row>
    <row r="103" spans="17:17" x14ac:dyDescent="0.3">
      <c r="Q103" s="4">
        <v>45000</v>
      </c>
    </row>
    <row r="104" spans="17:17" x14ac:dyDescent="0.3">
      <c r="Q104" s="3">
        <v>45000</v>
      </c>
    </row>
    <row r="105" spans="17:17" x14ac:dyDescent="0.3">
      <c r="Q105" s="4">
        <v>45000</v>
      </c>
    </row>
    <row r="106" spans="17:17" x14ac:dyDescent="0.3">
      <c r="Q106" s="3">
        <v>45000</v>
      </c>
    </row>
    <row r="107" spans="17:17" x14ac:dyDescent="0.3">
      <c r="Q107" s="4">
        <v>45000</v>
      </c>
    </row>
    <row r="108" spans="17:17" x14ac:dyDescent="0.3">
      <c r="Q108" s="3">
        <v>45000</v>
      </c>
    </row>
    <row r="109" spans="17:17" x14ac:dyDescent="0.3">
      <c r="Q109" s="4">
        <v>45000</v>
      </c>
    </row>
    <row r="110" spans="17:17" x14ac:dyDescent="0.3">
      <c r="Q110" s="3">
        <v>45500</v>
      </c>
    </row>
    <row r="111" spans="17:17" x14ac:dyDescent="0.3">
      <c r="Q111" s="4">
        <v>45600</v>
      </c>
    </row>
    <row r="112" spans="17:17" x14ac:dyDescent="0.3">
      <c r="Q112" s="3">
        <v>46000</v>
      </c>
    </row>
    <row r="113" spans="17:17" x14ac:dyDescent="0.3">
      <c r="Q113" s="4">
        <v>46000</v>
      </c>
    </row>
    <row r="114" spans="17:17" x14ac:dyDescent="0.3">
      <c r="Q114" s="3">
        <v>46000</v>
      </c>
    </row>
    <row r="115" spans="17:17" x14ac:dyDescent="0.3">
      <c r="Q115" s="4">
        <v>46000</v>
      </c>
    </row>
    <row r="116" spans="17:17" x14ac:dyDescent="0.3">
      <c r="Q116" s="3">
        <v>46000</v>
      </c>
    </row>
    <row r="117" spans="17:17" x14ac:dyDescent="0.3">
      <c r="Q117" s="4">
        <v>46000</v>
      </c>
    </row>
    <row r="118" spans="17:17" x14ac:dyDescent="0.3">
      <c r="Q118" s="3">
        <v>47000</v>
      </c>
    </row>
    <row r="119" spans="17:17" x14ac:dyDescent="0.3">
      <c r="Q119" s="4">
        <v>47000</v>
      </c>
    </row>
    <row r="120" spans="17:17" x14ac:dyDescent="0.3">
      <c r="Q120" s="3">
        <v>47400</v>
      </c>
    </row>
    <row r="121" spans="17:17" x14ac:dyDescent="0.3">
      <c r="Q121" s="4">
        <v>47500</v>
      </c>
    </row>
    <row r="122" spans="17:17" x14ac:dyDescent="0.3">
      <c r="Q122" s="3">
        <v>47500</v>
      </c>
    </row>
    <row r="123" spans="17:17" x14ac:dyDescent="0.3">
      <c r="Q123" s="4">
        <v>47745</v>
      </c>
    </row>
    <row r="124" spans="17:17" x14ac:dyDescent="0.3">
      <c r="Q124" s="3">
        <v>48000</v>
      </c>
    </row>
    <row r="125" spans="17:17" x14ac:dyDescent="0.3">
      <c r="Q125" s="4">
        <v>48000</v>
      </c>
    </row>
    <row r="126" spans="17:17" x14ac:dyDescent="0.3">
      <c r="Q126" s="3">
        <v>48000</v>
      </c>
    </row>
    <row r="127" spans="17:17" x14ac:dyDescent="0.3">
      <c r="Q127" s="4">
        <v>48000</v>
      </c>
    </row>
    <row r="128" spans="17:17" x14ac:dyDescent="0.3">
      <c r="Q128" s="3">
        <v>48000</v>
      </c>
    </row>
    <row r="129" spans="17:17" x14ac:dyDescent="0.3">
      <c r="Q129" s="4">
        <v>48000</v>
      </c>
    </row>
    <row r="130" spans="17:17" x14ac:dyDescent="0.3">
      <c r="Q130" s="3">
        <v>48000</v>
      </c>
    </row>
    <row r="131" spans="17:17" x14ac:dyDescent="0.3">
      <c r="Q131" s="4">
        <v>48000</v>
      </c>
    </row>
    <row r="132" spans="17:17" x14ac:dyDescent="0.3">
      <c r="Q132" s="3">
        <v>48000</v>
      </c>
    </row>
    <row r="133" spans="17:17" x14ac:dyDescent="0.3">
      <c r="Q133" s="4">
        <v>48000</v>
      </c>
    </row>
    <row r="134" spans="17:17" x14ac:dyDescent="0.3">
      <c r="Q134" s="3">
        <v>48000</v>
      </c>
    </row>
    <row r="135" spans="17:17" x14ac:dyDescent="0.3">
      <c r="Q135" s="4">
        <v>48000</v>
      </c>
    </row>
    <row r="136" spans="17:17" x14ac:dyDescent="0.3">
      <c r="Q136" s="3">
        <v>48000</v>
      </c>
    </row>
    <row r="137" spans="17:17" x14ac:dyDescent="0.3">
      <c r="Q137" s="4">
        <v>48000</v>
      </c>
    </row>
    <row r="138" spans="17:17" x14ac:dyDescent="0.3">
      <c r="Q138" s="3">
        <v>48000</v>
      </c>
    </row>
    <row r="139" spans="17:17" x14ac:dyDescent="0.3">
      <c r="Q139" s="4">
        <v>48000</v>
      </c>
    </row>
    <row r="140" spans="17:17" x14ac:dyDescent="0.3">
      <c r="Q140" s="3">
        <v>48000</v>
      </c>
    </row>
    <row r="141" spans="17:17" x14ac:dyDescent="0.3">
      <c r="Q141" s="4">
        <v>49000</v>
      </c>
    </row>
    <row r="142" spans="17:17" x14ac:dyDescent="0.3">
      <c r="Q142" s="3">
        <v>49000</v>
      </c>
    </row>
    <row r="143" spans="17:17" x14ac:dyDescent="0.3">
      <c r="Q143" s="4">
        <v>49000</v>
      </c>
    </row>
    <row r="144" spans="17:17" x14ac:dyDescent="0.3">
      <c r="Q144" s="3">
        <v>49000</v>
      </c>
    </row>
    <row r="145" spans="17:17" x14ac:dyDescent="0.3">
      <c r="Q145" s="4">
        <v>49000</v>
      </c>
    </row>
    <row r="146" spans="17:17" x14ac:dyDescent="0.3">
      <c r="Q146" s="3">
        <v>49000</v>
      </c>
    </row>
    <row r="147" spans="17:17" x14ac:dyDescent="0.3">
      <c r="Q147" s="4">
        <v>49200</v>
      </c>
    </row>
    <row r="148" spans="17:17" x14ac:dyDescent="0.3">
      <c r="Q148" s="3">
        <v>49850</v>
      </c>
    </row>
    <row r="149" spans="17:17" x14ac:dyDescent="0.3">
      <c r="Q149" s="4">
        <v>50000</v>
      </c>
    </row>
    <row r="150" spans="17:17" x14ac:dyDescent="0.3">
      <c r="Q150" s="3">
        <v>50000</v>
      </c>
    </row>
    <row r="151" spans="17:17" x14ac:dyDescent="0.3">
      <c r="Q151" s="4">
        <v>50000</v>
      </c>
    </row>
    <row r="152" spans="17:17" x14ac:dyDescent="0.3">
      <c r="Q152" s="3">
        <v>50000</v>
      </c>
    </row>
    <row r="153" spans="17:17" x14ac:dyDescent="0.3">
      <c r="Q153" s="4">
        <v>50000</v>
      </c>
    </row>
    <row r="154" spans="17:17" x14ac:dyDescent="0.3">
      <c r="Q154" s="3">
        <v>50000</v>
      </c>
    </row>
    <row r="155" spans="17:17" x14ac:dyDescent="0.3">
      <c r="Q155" s="4">
        <v>50000</v>
      </c>
    </row>
    <row r="156" spans="17:17" x14ac:dyDescent="0.3">
      <c r="Q156" s="3">
        <v>50000</v>
      </c>
    </row>
    <row r="157" spans="17:17" x14ac:dyDescent="0.3">
      <c r="Q157" s="4">
        <v>50000</v>
      </c>
    </row>
    <row r="158" spans="17:17" x14ac:dyDescent="0.3">
      <c r="Q158" s="3">
        <v>50000</v>
      </c>
    </row>
    <row r="159" spans="17:17" x14ac:dyDescent="0.3">
      <c r="Q159" s="4">
        <v>50000</v>
      </c>
    </row>
    <row r="160" spans="17:17" x14ac:dyDescent="0.3">
      <c r="Q160" s="3">
        <v>50000</v>
      </c>
    </row>
    <row r="161" spans="17:17" x14ac:dyDescent="0.3">
      <c r="Q161" s="4">
        <v>50000</v>
      </c>
    </row>
    <row r="162" spans="17:17" x14ac:dyDescent="0.3">
      <c r="Q162" s="3">
        <v>50000</v>
      </c>
    </row>
    <row r="163" spans="17:17" x14ac:dyDescent="0.3">
      <c r="Q163" s="4">
        <v>50000</v>
      </c>
    </row>
    <row r="164" spans="17:17" x14ac:dyDescent="0.3">
      <c r="Q164" s="3">
        <v>50000</v>
      </c>
    </row>
    <row r="165" spans="17:17" x14ac:dyDescent="0.3">
      <c r="Q165" s="4">
        <v>50000</v>
      </c>
    </row>
    <row r="166" spans="17:17" x14ac:dyDescent="0.3">
      <c r="Q166" s="3">
        <v>50000</v>
      </c>
    </row>
    <row r="167" spans="17:17" x14ac:dyDescent="0.3">
      <c r="Q167" s="4">
        <v>50000</v>
      </c>
    </row>
    <row r="168" spans="17:17" x14ac:dyDescent="0.3">
      <c r="Q168" s="3">
        <v>50000</v>
      </c>
    </row>
    <row r="169" spans="17:17" x14ac:dyDescent="0.3">
      <c r="Q169" s="4">
        <v>50000</v>
      </c>
    </row>
    <row r="170" spans="17:17" x14ac:dyDescent="0.3">
      <c r="Q170" s="3">
        <v>50000</v>
      </c>
    </row>
    <row r="171" spans="17:17" x14ac:dyDescent="0.3">
      <c r="Q171" s="4">
        <v>50000</v>
      </c>
    </row>
    <row r="172" spans="17:17" x14ac:dyDescent="0.3">
      <c r="Q172" s="3">
        <v>50000</v>
      </c>
    </row>
    <row r="173" spans="17:17" x14ac:dyDescent="0.3">
      <c r="Q173" s="4">
        <v>50000</v>
      </c>
    </row>
    <row r="174" spans="17:17" x14ac:dyDescent="0.3">
      <c r="Q174" s="3">
        <v>50000</v>
      </c>
    </row>
    <row r="175" spans="17:17" x14ac:dyDescent="0.3">
      <c r="Q175" s="4">
        <v>50400</v>
      </c>
    </row>
    <row r="176" spans="17:17" x14ac:dyDescent="0.3">
      <c r="Q176" s="3">
        <v>50400</v>
      </c>
    </row>
    <row r="177" spans="17:17" x14ac:dyDescent="0.3">
      <c r="Q177" s="4">
        <v>50400</v>
      </c>
    </row>
    <row r="178" spans="17:17" x14ac:dyDescent="0.3">
      <c r="Q178" s="3">
        <v>50500</v>
      </c>
    </row>
    <row r="179" spans="17:17" x14ac:dyDescent="0.3">
      <c r="Q179" s="4">
        <v>51000</v>
      </c>
    </row>
    <row r="180" spans="17:17" x14ac:dyDescent="0.3">
      <c r="Q180" s="3">
        <v>51000</v>
      </c>
    </row>
    <row r="181" spans="17:17" x14ac:dyDescent="0.3">
      <c r="Q181" s="4">
        <v>51000</v>
      </c>
    </row>
    <row r="182" spans="17:17" x14ac:dyDescent="0.3">
      <c r="Q182" s="3">
        <v>51000</v>
      </c>
    </row>
    <row r="183" spans="17:17" x14ac:dyDescent="0.3">
      <c r="Q183" s="4">
        <v>51000</v>
      </c>
    </row>
    <row r="184" spans="17:17" x14ac:dyDescent="0.3">
      <c r="Q184" s="3">
        <v>51000</v>
      </c>
    </row>
    <row r="185" spans="17:17" x14ac:dyDescent="0.3">
      <c r="Q185" s="4">
        <v>51000</v>
      </c>
    </row>
    <row r="186" spans="17:17" x14ac:dyDescent="0.3">
      <c r="Q186" s="3">
        <v>51000</v>
      </c>
    </row>
    <row r="187" spans="17:17" x14ac:dyDescent="0.3">
      <c r="Q187" s="4">
        <v>52000</v>
      </c>
    </row>
    <row r="188" spans="17:17" x14ac:dyDescent="0.3">
      <c r="Q188" s="3">
        <v>52000</v>
      </c>
    </row>
    <row r="189" spans="17:17" x14ac:dyDescent="0.3">
      <c r="Q189" s="4">
        <v>52000</v>
      </c>
    </row>
    <row r="190" spans="17:17" x14ac:dyDescent="0.3">
      <c r="Q190" s="3">
        <v>52000</v>
      </c>
    </row>
    <row r="191" spans="17:17" x14ac:dyDescent="0.3">
      <c r="Q191" s="4">
        <v>52000</v>
      </c>
    </row>
    <row r="192" spans="17:17" x14ac:dyDescent="0.3">
      <c r="Q192" s="3">
        <v>52000</v>
      </c>
    </row>
    <row r="193" spans="17:17" x14ac:dyDescent="0.3">
      <c r="Q193" s="4">
        <v>52000</v>
      </c>
    </row>
    <row r="194" spans="17:17" x14ac:dyDescent="0.3">
      <c r="Q194" s="3">
        <v>52500</v>
      </c>
    </row>
    <row r="195" spans="17:17" x14ac:dyDescent="0.3">
      <c r="Q195" s="4">
        <v>52500</v>
      </c>
    </row>
    <row r="196" spans="17:17" x14ac:dyDescent="0.3">
      <c r="Q196" s="3">
        <v>52500</v>
      </c>
    </row>
    <row r="197" spans="17:17" x14ac:dyDescent="0.3">
      <c r="Q197" s="4">
        <v>52800</v>
      </c>
    </row>
    <row r="198" spans="17:17" x14ac:dyDescent="0.3">
      <c r="Q198" s="3">
        <v>53000</v>
      </c>
    </row>
    <row r="199" spans="17:17" x14ac:dyDescent="0.3">
      <c r="Q199" s="4">
        <v>53000</v>
      </c>
    </row>
    <row r="200" spans="17:17" x14ac:dyDescent="0.3">
      <c r="Q200" s="3">
        <v>53000</v>
      </c>
    </row>
    <row r="201" spans="17:17" x14ac:dyDescent="0.3">
      <c r="Q201" s="4">
        <v>53000</v>
      </c>
    </row>
    <row r="202" spans="17:17" x14ac:dyDescent="0.3">
      <c r="Q202" s="3">
        <v>53000</v>
      </c>
    </row>
    <row r="203" spans="17:17" x14ac:dyDescent="0.3">
      <c r="Q203" s="4">
        <v>53000</v>
      </c>
    </row>
    <row r="204" spans="17:17" x14ac:dyDescent="0.3">
      <c r="Q204" s="3">
        <v>53000</v>
      </c>
    </row>
    <row r="205" spans="17:17" x14ac:dyDescent="0.3">
      <c r="Q205" s="4">
        <v>53000</v>
      </c>
    </row>
    <row r="206" spans="17:17" x14ac:dyDescent="0.3">
      <c r="Q206" s="3">
        <v>53500</v>
      </c>
    </row>
    <row r="207" spans="17:17" x14ac:dyDescent="0.3">
      <c r="Q207" s="4">
        <v>54000</v>
      </c>
    </row>
    <row r="208" spans="17:17" x14ac:dyDescent="0.3">
      <c r="Q208" s="3">
        <v>54000</v>
      </c>
    </row>
    <row r="209" spans="17:17" x14ac:dyDescent="0.3">
      <c r="Q209" s="4">
        <v>54000</v>
      </c>
    </row>
    <row r="210" spans="17:17" x14ac:dyDescent="0.3">
      <c r="Q210" s="3">
        <v>54000</v>
      </c>
    </row>
    <row r="211" spans="17:17" x14ac:dyDescent="0.3">
      <c r="Q211" s="4">
        <v>54000</v>
      </c>
    </row>
    <row r="212" spans="17:17" x14ac:dyDescent="0.3">
      <c r="Q212" s="3">
        <v>54000</v>
      </c>
    </row>
    <row r="213" spans="17:17" x14ac:dyDescent="0.3">
      <c r="Q213" s="4">
        <v>54000</v>
      </c>
    </row>
    <row r="214" spans="17:17" x14ac:dyDescent="0.3">
      <c r="Q214" s="3">
        <v>54000</v>
      </c>
    </row>
    <row r="215" spans="17:17" x14ac:dyDescent="0.3">
      <c r="Q215" s="4">
        <v>54000</v>
      </c>
    </row>
    <row r="216" spans="17:17" x14ac:dyDescent="0.3">
      <c r="Q216" s="3">
        <v>54000</v>
      </c>
    </row>
    <row r="217" spans="17:17" x14ac:dyDescent="0.3">
      <c r="Q217" s="4">
        <v>54000</v>
      </c>
    </row>
    <row r="218" spans="17:17" x14ac:dyDescent="0.3">
      <c r="Q218" s="3">
        <v>54000</v>
      </c>
    </row>
    <row r="219" spans="17:17" x14ac:dyDescent="0.3">
      <c r="Q219" s="4">
        <v>54000</v>
      </c>
    </row>
    <row r="220" spans="17:17" x14ac:dyDescent="0.3">
      <c r="Q220" s="3">
        <v>54000</v>
      </c>
    </row>
    <row r="221" spans="17:17" x14ac:dyDescent="0.3">
      <c r="Q221" s="4">
        <v>54000</v>
      </c>
    </row>
    <row r="222" spans="17:17" x14ac:dyDescent="0.3">
      <c r="Q222" s="3">
        <v>54000</v>
      </c>
    </row>
    <row r="223" spans="17:17" x14ac:dyDescent="0.3">
      <c r="Q223" s="4">
        <v>54000</v>
      </c>
    </row>
    <row r="224" spans="17:17" x14ac:dyDescent="0.3">
      <c r="Q224" s="3">
        <v>54179.13</v>
      </c>
    </row>
    <row r="225" spans="17:17" x14ac:dyDescent="0.3">
      <c r="Q225" s="4">
        <v>54500</v>
      </c>
    </row>
    <row r="226" spans="17:17" x14ac:dyDescent="0.3">
      <c r="Q226" s="3">
        <v>54500</v>
      </c>
    </row>
    <row r="227" spans="17:17" x14ac:dyDescent="0.3">
      <c r="Q227" s="4">
        <v>55000</v>
      </c>
    </row>
    <row r="228" spans="17:17" x14ac:dyDescent="0.3">
      <c r="Q228" s="3">
        <v>55000</v>
      </c>
    </row>
    <row r="229" spans="17:17" x14ac:dyDescent="0.3">
      <c r="Q229" s="4">
        <v>55000</v>
      </c>
    </row>
    <row r="230" spans="17:17" x14ac:dyDescent="0.3">
      <c r="Q230" s="3">
        <v>55000</v>
      </c>
    </row>
    <row r="231" spans="17:17" x14ac:dyDescent="0.3">
      <c r="Q231" s="4">
        <v>55000</v>
      </c>
    </row>
    <row r="232" spans="17:17" x14ac:dyDescent="0.3">
      <c r="Q232" s="3">
        <v>55000</v>
      </c>
    </row>
    <row r="233" spans="17:17" x14ac:dyDescent="0.3">
      <c r="Q233" s="4">
        <v>55000</v>
      </c>
    </row>
    <row r="234" spans="17:17" x14ac:dyDescent="0.3">
      <c r="Q234" s="3">
        <v>55000</v>
      </c>
    </row>
    <row r="235" spans="17:17" x14ac:dyDescent="0.3">
      <c r="Q235" s="4">
        <v>55000</v>
      </c>
    </row>
    <row r="236" spans="17:17" x14ac:dyDescent="0.3">
      <c r="Q236" s="3">
        <v>55000</v>
      </c>
    </row>
    <row r="237" spans="17:17" x14ac:dyDescent="0.3">
      <c r="Q237" s="4">
        <v>55000</v>
      </c>
    </row>
    <row r="238" spans="17:17" x14ac:dyDescent="0.3">
      <c r="Q238" s="3">
        <v>55000</v>
      </c>
    </row>
    <row r="239" spans="17:17" x14ac:dyDescent="0.3">
      <c r="Q239" s="4">
        <v>55000</v>
      </c>
    </row>
    <row r="240" spans="17:17" x14ac:dyDescent="0.3">
      <c r="Q240" s="3">
        <v>55000</v>
      </c>
    </row>
    <row r="241" spans="17:17" x14ac:dyDescent="0.3">
      <c r="Q241" s="4">
        <v>55000</v>
      </c>
    </row>
    <row r="242" spans="17:17" x14ac:dyDescent="0.3">
      <c r="Q242" s="3">
        <v>55000</v>
      </c>
    </row>
    <row r="243" spans="17:17" x14ac:dyDescent="0.3">
      <c r="Q243" s="4">
        <v>55000</v>
      </c>
    </row>
    <row r="244" spans="17:17" x14ac:dyDescent="0.3">
      <c r="Q244" s="3">
        <v>55000</v>
      </c>
    </row>
    <row r="245" spans="17:17" x14ac:dyDescent="0.3">
      <c r="Q245" s="4">
        <v>55000</v>
      </c>
    </row>
    <row r="246" spans="17:17" x14ac:dyDescent="0.3">
      <c r="Q246" s="3">
        <v>55000</v>
      </c>
    </row>
    <row r="247" spans="17:17" x14ac:dyDescent="0.3">
      <c r="Q247" s="4">
        <v>55000</v>
      </c>
    </row>
    <row r="248" spans="17:17" x14ac:dyDescent="0.3">
      <c r="Q248" s="3">
        <v>55000</v>
      </c>
    </row>
    <row r="249" spans="17:17" x14ac:dyDescent="0.3">
      <c r="Q249" s="4">
        <v>55000</v>
      </c>
    </row>
    <row r="250" spans="17:17" x14ac:dyDescent="0.3">
      <c r="Q250" s="3">
        <v>55000</v>
      </c>
    </row>
    <row r="251" spans="17:17" x14ac:dyDescent="0.3">
      <c r="Q251" s="4">
        <v>55000</v>
      </c>
    </row>
    <row r="252" spans="17:17" x14ac:dyDescent="0.3">
      <c r="Q252" s="3">
        <v>55000</v>
      </c>
    </row>
    <row r="253" spans="17:17" x14ac:dyDescent="0.3">
      <c r="Q253" s="4">
        <v>55000</v>
      </c>
    </row>
    <row r="254" spans="17:17" x14ac:dyDescent="0.3">
      <c r="Q254" s="3">
        <v>55000</v>
      </c>
    </row>
    <row r="255" spans="17:17" x14ac:dyDescent="0.3">
      <c r="Q255" s="4">
        <v>55000</v>
      </c>
    </row>
    <row r="256" spans="17:17" x14ac:dyDescent="0.3">
      <c r="Q256" s="3">
        <v>55000</v>
      </c>
    </row>
    <row r="257" spans="17:17" x14ac:dyDescent="0.3">
      <c r="Q257" s="4">
        <v>55000</v>
      </c>
    </row>
    <row r="258" spans="17:17" x14ac:dyDescent="0.3">
      <c r="Q258" s="3">
        <v>55000</v>
      </c>
    </row>
    <row r="259" spans="17:17" x14ac:dyDescent="0.3">
      <c r="Q259" s="4">
        <v>55000</v>
      </c>
    </row>
    <row r="260" spans="17:17" x14ac:dyDescent="0.3">
      <c r="Q260" s="3">
        <v>55000</v>
      </c>
    </row>
    <row r="261" spans="17:17" x14ac:dyDescent="0.3">
      <c r="Q261" s="4">
        <v>55000</v>
      </c>
    </row>
    <row r="262" spans="17:17" x14ac:dyDescent="0.3">
      <c r="Q262" s="3">
        <v>55200</v>
      </c>
    </row>
    <row r="263" spans="17:17" x14ac:dyDescent="0.3">
      <c r="Q263" s="4">
        <v>55200</v>
      </c>
    </row>
    <row r="264" spans="17:17" x14ac:dyDescent="0.3">
      <c r="Q264" s="3">
        <v>55500</v>
      </c>
    </row>
    <row r="265" spans="17:17" x14ac:dyDescent="0.3">
      <c r="Q265" s="4">
        <v>56000</v>
      </c>
    </row>
    <row r="266" spans="17:17" x14ac:dyDescent="0.3">
      <c r="Q266" s="3">
        <v>56000</v>
      </c>
    </row>
    <row r="267" spans="17:17" x14ac:dyDescent="0.3">
      <c r="Q267" s="4">
        <v>56000</v>
      </c>
    </row>
    <row r="268" spans="17:17" x14ac:dyDescent="0.3">
      <c r="Q268" s="3">
        <v>56000</v>
      </c>
    </row>
    <row r="269" spans="17:17" x14ac:dyDescent="0.3">
      <c r="Q269" s="4">
        <v>56000</v>
      </c>
    </row>
    <row r="270" spans="17:17" x14ac:dyDescent="0.3">
      <c r="Q270" s="3">
        <v>56000</v>
      </c>
    </row>
    <row r="271" spans="17:17" x14ac:dyDescent="0.3">
      <c r="Q271" s="4">
        <v>56000</v>
      </c>
    </row>
    <row r="272" spans="17:17" x14ac:dyDescent="0.3">
      <c r="Q272" s="3">
        <v>56000</v>
      </c>
    </row>
    <row r="273" spans="17:17" x14ac:dyDescent="0.3">
      <c r="Q273" s="4">
        <v>56000</v>
      </c>
    </row>
    <row r="274" spans="17:17" x14ac:dyDescent="0.3">
      <c r="Q274" s="3">
        <v>56000</v>
      </c>
    </row>
    <row r="275" spans="17:17" x14ac:dyDescent="0.3">
      <c r="Q275" s="4">
        <v>56000</v>
      </c>
    </row>
    <row r="276" spans="17:17" x14ac:dyDescent="0.3">
      <c r="Q276" s="3">
        <v>56000</v>
      </c>
    </row>
    <row r="277" spans="17:17" x14ac:dyDescent="0.3">
      <c r="Q277" s="4">
        <v>56400</v>
      </c>
    </row>
    <row r="278" spans="17:17" x14ac:dyDescent="0.3">
      <c r="Q278" s="3">
        <v>56700</v>
      </c>
    </row>
    <row r="279" spans="17:17" x14ac:dyDescent="0.3">
      <c r="Q279" s="4">
        <v>57000</v>
      </c>
    </row>
    <row r="280" spans="17:17" x14ac:dyDescent="0.3">
      <c r="Q280" s="3">
        <v>57000</v>
      </c>
    </row>
    <row r="281" spans="17:17" x14ac:dyDescent="0.3">
      <c r="Q281" s="4">
        <v>57000</v>
      </c>
    </row>
    <row r="282" spans="17:17" x14ac:dyDescent="0.3">
      <c r="Q282" s="3">
        <v>57000</v>
      </c>
    </row>
    <row r="283" spans="17:17" x14ac:dyDescent="0.3">
      <c r="Q283" s="4">
        <v>57000</v>
      </c>
    </row>
    <row r="284" spans="17:17" x14ac:dyDescent="0.3">
      <c r="Q284" s="3">
        <v>57000</v>
      </c>
    </row>
    <row r="285" spans="17:17" x14ac:dyDescent="0.3">
      <c r="Q285" s="4">
        <v>57000</v>
      </c>
    </row>
    <row r="286" spans="17:17" x14ac:dyDescent="0.3">
      <c r="Q286" s="3">
        <v>57000</v>
      </c>
    </row>
    <row r="287" spans="17:17" x14ac:dyDescent="0.3">
      <c r="Q287" s="4">
        <v>57000</v>
      </c>
    </row>
    <row r="288" spans="17:17" x14ac:dyDescent="0.3">
      <c r="Q288" s="3">
        <v>57000</v>
      </c>
    </row>
    <row r="289" spans="17:17" x14ac:dyDescent="0.3">
      <c r="Q289" s="4">
        <v>57000</v>
      </c>
    </row>
    <row r="290" spans="17:17" x14ac:dyDescent="0.3">
      <c r="Q290" s="3">
        <v>57000</v>
      </c>
    </row>
    <row r="291" spans="17:17" x14ac:dyDescent="0.3">
      <c r="Q291" s="4">
        <v>57000</v>
      </c>
    </row>
    <row r="292" spans="17:17" x14ac:dyDescent="0.3">
      <c r="Q292" s="3">
        <v>57000</v>
      </c>
    </row>
    <row r="293" spans="17:17" x14ac:dyDescent="0.3">
      <c r="Q293" s="4">
        <v>57000</v>
      </c>
    </row>
    <row r="294" spans="17:17" x14ac:dyDescent="0.3">
      <c r="Q294" s="3">
        <v>57000</v>
      </c>
    </row>
    <row r="295" spans="17:17" x14ac:dyDescent="0.3">
      <c r="Q295" s="4">
        <v>57000</v>
      </c>
    </row>
    <row r="296" spans="17:17" x14ac:dyDescent="0.3">
      <c r="Q296" s="3">
        <v>57600</v>
      </c>
    </row>
    <row r="297" spans="17:17" x14ac:dyDescent="0.3">
      <c r="Q297" s="4">
        <v>57600</v>
      </c>
    </row>
    <row r="298" spans="17:17" x14ac:dyDescent="0.3">
      <c r="Q298" s="3">
        <v>57600</v>
      </c>
    </row>
    <row r="299" spans="17:17" x14ac:dyDescent="0.3">
      <c r="Q299" s="4">
        <v>57750</v>
      </c>
    </row>
    <row r="300" spans="17:17" x14ac:dyDescent="0.3">
      <c r="Q300" s="3">
        <v>57760</v>
      </c>
    </row>
    <row r="301" spans="17:17" x14ac:dyDescent="0.3">
      <c r="Q301" s="4">
        <v>58000</v>
      </c>
    </row>
    <row r="302" spans="17:17" x14ac:dyDescent="0.3">
      <c r="Q302" s="3">
        <v>58000</v>
      </c>
    </row>
    <row r="303" spans="17:17" x14ac:dyDescent="0.3">
      <c r="Q303" s="4">
        <v>58000</v>
      </c>
    </row>
    <row r="304" spans="17:17" x14ac:dyDescent="0.3">
      <c r="Q304" s="3">
        <v>58000</v>
      </c>
    </row>
    <row r="305" spans="17:17" x14ac:dyDescent="0.3">
      <c r="Q305" s="4">
        <v>58000</v>
      </c>
    </row>
    <row r="306" spans="17:17" x14ac:dyDescent="0.3">
      <c r="Q306" s="3">
        <v>58000</v>
      </c>
    </row>
    <row r="307" spans="17:17" x14ac:dyDescent="0.3">
      <c r="Q307" s="4">
        <v>58000</v>
      </c>
    </row>
    <row r="308" spans="17:17" x14ac:dyDescent="0.3">
      <c r="Q308" s="3">
        <v>58000</v>
      </c>
    </row>
    <row r="309" spans="17:17" x14ac:dyDescent="0.3">
      <c r="Q309" s="4">
        <v>58000</v>
      </c>
    </row>
    <row r="310" spans="17:17" x14ac:dyDescent="0.3">
      <c r="Q310" s="3">
        <v>58000</v>
      </c>
    </row>
    <row r="311" spans="17:17" x14ac:dyDescent="0.3">
      <c r="Q311" s="4">
        <v>58000</v>
      </c>
    </row>
    <row r="312" spans="17:17" x14ac:dyDescent="0.3">
      <c r="Q312" s="3">
        <v>58000</v>
      </c>
    </row>
    <row r="313" spans="17:17" x14ac:dyDescent="0.3">
      <c r="Q313" s="4">
        <v>58000</v>
      </c>
    </row>
    <row r="314" spans="17:17" x14ac:dyDescent="0.3">
      <c r="Q314" s="3">
        <v>58000</v>
      </c>
    </row>
    <row r="315" spans="17:17" x14ac:dyDescent="0.3">
      <c r="Q315" s="4">
        <v>58000</v>
      </c>
    </row>
    <row r="316" spans="17:17" x14ac:dyDescent="0.3">
      <c r="Q316" s="3">
        <v>58000</v>
      </c>
    </row>
    <row r="317" spans="17:17" x14ac:dyDescent="0.3">
      <c r="Q317" s="4">
        <v>58800</v>
      </c>
    </row>
    <row r="318" spans="17:17" x14ac:dyDescent="0.3">
      <c r="Q318" s="3">
        <v>59000</v>
      </c>
    </row>
    <row r="319" spans="17:17" x14ac:dyDescent="0.3">
      <c r="Q319" s="4">
        <v>59000</v>
      </c>
    </row>
    <row r="320" spans="17:17" x14ac:dyDescent="0.3">
      <c r="Q320" s="3">
        <v>59000</v>
      </c>
    </row>
    <row r="321" spans="17:17" x14ac:dyDescent="0.3">
      <c r="Q321" s="4">
        <v>59064</v>
      </c>
    </row>
    <row r="322" spans="17:17" x14ac:dyDescent="0.3">
      <c r="Q322" s="3">
        <v>60000</v>
      </c>
    </row>
    <row r="323" spans="17:17" x14ac:dyDescent="0.3">
      <c r="Q323" s="4">
        <v>60000</v>
      </c>
    </row>
    <row r="324" spans="17:17" x14ac:dyDescent="0.3">
      <c r="Q324" s="3">
        <v>60000</v>
      </c>
    </row>
    <row r="325" spans="17:17" x14ac:dyDescent="0.3">
      <c r="Q325" s="4">
        <v>60000</v>
      </c>
    </row>
    <row r="326" spans="17:17" x14ac:dyDescent="0.3">
      <c r="Q326" s="3">
        <v>60000</v>
      </c>
    </row>
    <row r="327" spans="17:17" x14ac:dyDescent="0.3">
      <c r="Q327" s="4">
        <v>60000</v>
      </c>
    </row>
    <row r="328" spans="17:17" x14ac:dyDescent="0.3">
      <c r="Q328" s="3">
        <v>60000</v>
      </c>
    </row>
    <row r="329" spans="17:17" x14ac:dyDescent="0.3">
      <c r="Q329" s="4">
        <v>60000</v>
      </c>
    </row>
    <row r="330" spans="17:17" x14ac:dyDescent="0.3">
      <c r="Q330" s="3">
        <v>60000</v>
      </c>
    </row>
    <row r="331" spans="17:17" x14ac:dyDescent="0.3">
      <c r="Q331" s="4">
        <v>60000</v>
      </c>
    </row>
    <row r="332" spans="17:17" x14ac:dyDescent="0.3">
      <c r="Q332" s="3">
        <v>60000</v>
      </c>
    </row>
    <row r="333" spans="17:17" x14ac:dyDescent="0.3">
      <c r="Q333" s="4">
        <v>60000</v>
      </c>
    </row>
    <row r="334" spans="17:17" x14ac:dyDescent="0.3">
      <c r="Q334" s="3">
        <v>60000</v>
      </c>
    </row>
    <row r="335" spans="17:17" x14ac:dyDescent="0.3">
      <c r="Q335" s="4">
        <v>60000</v>
      </c>
    </row>
    <row r="336" spans="17:17" x14ac:dyDescent="0.3">
      <c r="Q336" s="3">
        <v>60000</v>
      </c>
    </row>
    <row r="337" spans="17:17" x14ac:dyDescent="0.3">
      <c r="Q337" s="4">
        <v>60000</v>
      </c>
    </row>
    <row r="338" spans="17:17" x14ac:dyDescent="0.3">
      <c r="Q338" s="3">
        <v>60000</v>
      </c>
    </row>
    <row r="339" spans="17:17" x14ac:dyDescent="0.3">
      <c r="Q339" s="4">
        <v>60000</v>
      </c>
    </row>
    <row r="340" spans="17:17" x14ac:dyDescent="0.3">
      <c r="Q340" s="3">
        <v>60000</v>
      </c>
    </row>
    <row r="341" spans="17:17" x14ac:dyDescent="0.3">
      <c r="Q341" s="4">
        <v>60000</v>
      </c>
    </row>
    <row r="342" spans="17:17" x14ac:dyDescent="0.3">
      <c r="Q342" s="3">
        <v>60000</v>
      </c>
    </row>
    <row r="343" spans="17:17" x14ac:dyDescent="0.3">
      <c r="Q343" s="4">
        <v>60000</v>
      </c>
    </row>
    <row r="344" spans="17:17" x14ac:dyDescent="0.3">
      <c r="Q344" s="3">
        <v>60000</v>
      </c>
    </row>
    <row r="345" spans="17:17" x14ac:dyDescent="0.3">
      <c r="Q345" s="4">
        <v>60000</v>
      </c>
    </row>
    <row r="346" spans="17:17" x14ac:dyDescent="0.3">
      <c r="Q346" s="3">
        <v>60000</v>
      </c>
    </row>
    <row r="347" spans="17:17" x14ac:dyDescent="0.3">
      <c r="Q347" s="4">
        <v>60000</v>
      </c>
    </row>
    <row r="348" spans="17:17" x14ac:dyDescent="0.3">
      <c r="Q348" s="3">
        <v>60000</v>
      </c>
    </row>
    <row r="349" spans="17:17" x14ac:dyDescent="0.3">
      <c r="Q349" s="4">
        <v>60000</v>
      </c>
    </row>
    <row r="350" spans="17:17" x14ac:dyDescent="0.3">
      <c r="Q350" s="3">
        <v>60000</v>
      </c>
    </row>
    <row r="351" spans="17:17" x14ac:dyDescent="0.3">
      <c r="Q351" s="4">
        <v>60000</v>
      </c>
    </row>
    <row r="352" spans="17:17" x14ac:dyDescent="0.3">
      <c r="Q352" s="3">
        <v>60000</v>
      </c>
    </row>
    <row r="353" spans="17:17" x14ac:dyDescent="0.3">
      <c r="Q353" s="4">
        <v>60000</v>
      </c>
    </row>
    <row r="354" spans="17:17" x14ac:dyDescent="0.3">
      <c r="Q354" s="3">
        <v>60000</v>
      </c>
    </row>
    <row r="355" spans="17:17" x14ac:dyDescent="0.3">
      <c r="Q355" s="4">
        <v>60000</v>
      </c>
    </row>
    <row r="356" spans="17:17" x14ac:dyDescent="0.3">
      <c r="Q356" s="3">
        <v>60000</v>
      </c>
    </row>
    <row r="357" spans="17:17" x14ac:dyDescent="0.3">
      <c r="Q357" s="4">
        <v>60000</v>
      </c>
    </row>
    <row r="358" spans="17:17" x14ac:dyDescent="0.3">
      <c r="Q358" s="3">
        <v>60000</v>
      </c>
    </row>
    <row r="359" spans="17:17" x14ac:dyDescent="0.3">
      <c r="Q359" s="4">
        <v>60000</v>
      </c>
    </row>
    <row r="360" spans="17:17" x14ac:dyDescent="0.3">
      <c r="Q360" s="3">
        <v>60000</v>
      </c>
    </row>
    <row r="361" spans="17:17" x14ac:dyDescent="0.3">
      <c r="Q361" s="4">
        <v>60000</v>
      </c>
    </row>
    <row r="362" spans="17:17" x14ac:dyDescent="0.3">
      <c r="Q362" s="3">
        <v>60000</v>
      </c>
    </row>
    <row r="363" spans="17:17" x14ac:dyDescent="0.3">
      <c r="Q363" s="4">
        <v>60000</v>
      </c>
    </row>
    <row r="364" spans="17:17" x14ac:dyDescent="0.3">
      <c r="Q364" s="3">
        <v>60000</v>
      </c>
    </row>
    <row r="365" spans="17:17" x14ac:dyDescent="0.3">
      <c r="Q365" s="4">
        <v>60000</v>
      </c>
    </row>
    <row r="366" spans="17:17" x14ac:dyDescent="0.3">
      <c r="Q366" s="3">
        <v>60000</v>
      </c>
    </row>
    <row r="367" spans="17:17" x14ac:dyDescent="0.3">
      <c r="Q367" s="4">
        <v>60000</v>
      </c>
    </row>
    <row r="368" spans="17:17" x14ac:dyDescent="0.3">
      <c r="Q368" s="3">
        <v>60000</v>
      </c>
    </row>
    <row r="369" spans="17:17" x14ac:dyDescent="0.3">
      <c r="Q369" s="4">
        <v>60000</v>
      </c>
    </row>
    <row r="370" spans="17:17" x14ac:dyDescent="0.3">
      <c r="Q370" s="3">
        <v>60000</v>
      </c>
    </row>
    <row r="371" spans="17:17" x14ac:dyDescent="0.3">
      <c r="Q371" s="4">
        <v>60000</v>
      </c>
    </row>
    <row r="372" spans="17:17" x14ac:dyDescent="0.3">
      <c r="Q372" s="3">
        <v>60000</v>
      </c>
    </row>
    <row r="373" spans="17:17" x14ac:dyDescent="0.3">
      <c r="Q373" s="4">
        <v>60000</v>
      </c>
    </row>
    <row r="374" spans="17:17" x14ac:dyDescent="0.3">
      <c r="Q374" s="3">
        <v>60000</v>
      </c>
    </row>
    <row r="375" spans="17:17" x14ac:dyDescent="0.3">
      <c r="Q375" s="4">
        <v>60000</v>
      </c>
    </row>
    <row r="376" spans="17:17" x14ac:dyDescent="0.3">
      <c r="Q376" s="3">
        <v>60000</v>
      </c>
    </row>
    <row r="377" spans="17:17" x14ac:dyDescent="0.3">
      <c r="Q377" s="4">
        <v>60000</v>
      </c>
    </row>
    <row r="378" spans="17:17" x14ac:dyDescent="0.3">
      <c r="Q378" s="3">
        <v>60000</v>
      </c>
    </row>
    <row r="379" spans="17:17" x14ac:dyDescent="0.3">
      <c r="Q379" s="4">
        <v>60000</v>
      </c>
    </row>
    <row r="380" spans="17:17" x14ac:dyDescent="0.3">
      <c r="Q380" s="3">
        <v>60000</v>
      </c>
    </row>
    <row r="381" spans="17:17" x14ac:dyDescent="0.3">
      <c r="Q381" s="4">
        <v>60000</v>
      </c>
    </row>
    <row r="382" spans="17:17" x14ac:dyDescent="0.3">
      <c r="Q382" s="3">
        <v>60000</v>
      </c>
    </row>
    <row r="383" spans="17:17" x14ac:dyDescent="0.3">
      <c r="Q383" s="4">
        <v>60000</v>
      </c>
    </row>
    <row r="384" spans="17:17" x14ac:dyDescent="0.3">
      <c r="Q384" s="3">
        <v>60000</v>
      </c>
    </row>
    <row r="385" spans="17:17" x14ac:dyDescent="0.3">
      <c r="Q385" s="4">
        <v>60000</v>
      </c>
    </row>
    <row r="386" spans="17:17" x14ac:dyDescent="0.3">
      <c r="Q386" s="3">
        <v>60000</v>
      </c>
    </row>
    <row r="387" spans="17:17" x14ac:dyDescent="0.3">
      <c r="Q387" s="4">
        <v>60000</v>
      </c>
    </row>
    <row r="388" spans="17:17" x14ac:dyDescent="0.3">
      <c r="Q388" s="3">
        <v>60000</v>
      </c>
    </row>
    <row r="389" spans="17:17" x14ac:dyDescent="0.3">
      <c r="Q389" s="4">
        <v>60000</v>
      </c>
    </row>
    <row r="390" spans="17:17" x14ac:dyDescent="0.3">
      <c r="Q390" s="3">
        <v>60000</v>
      </c>
    </row>
    <row r="391" spans="17:17" x14ac:dyDescent="0.3">
      <c r="Q391" s="4">
        <v>60000</v>
      </c>
    </row>
    <row r="392" spans="17:17" x14ac:dyDescent="0.3">
      <c r="Q392" s="3">
        <v>60000</v>
      </c>
    </row>
    <row r="393" spans="17:17" x14ac:dyDescent="0.3">
      <c r="Q393" s="4">
        <v>60000</v>
      </c>
    </row>
    <row r="394" spans="17:17" x14ac:dyDescent="0.3">
      <c r="Q394" s="3">
        <v>60000</v>
      </c>
    </row>
    <row r="395" spans="17:17" x14ac:dyDescent="0.3">
      <c r="Q395" s="4">
        <v>60000</v>
      </c>
    </row>
    <row r="396" spans="17:17" x14ac:dyDescent="0.3">
      <c r="Q396" s="3">
        <v>60000</v>
      </c>
    </row>
    <row r="397" spans="17:17" x14ac:dyDescent="0.3">
      <c r="Q397" s="4">
        <v>60000</v>
      </c>
    </row>
    <row r="398" spans="17:17" x14ac:dyDescent="0.3">
      <c r="Q398" s="3">
        <v>60000</v>
      </c>
    </row>
    <row r="399" spans="17:17" x14ac:dyDescent="0.3">
      <c r="Q399" s="4">
        <v>60000</v>
      </c>
    </row>
    <row r="400" spans="17:17" x14ac:dyDescent="0.3">
      <c r="Q400" s="3">
        <v>60000</v>
      </c>
    </row>
    <row r="401" spans="17:17" x14ac:dyDescent="0.3">
      <c r="Q401" s="4">
        <v>60000</v>
      </c>
    </row>
    <row r="402" spans="17:17" x14ac:dyDescent="0.3">
      <c r="Q402" s="3">
        <v>60000</v>
      </c>
    </row>
    <row r="403" spans="17:17" x14ac:dyDescent="0.3">
      <c r="Q403" s="4">
        <v>60000</v>
      </c>
    </row>
    <row r="404" spans="17:17" x14ac:dyDescent="0.3">
      <c r="Q404" s="3">
        <v>60000</v>
      </c>
    </row>
    <row r="405" spans="17:17" x14ac:dyDescent="0.3">
      <c r="Q405" s="4">
        <v>60000</v>
      </c>
    </row>
    <row r="406" spans="17:17" x14ac:dyDescent="0.3">
      <c r="Q406" s="3">
        <v>60000</v>
      </c>
    </row>
    <row r="407" spans="17:17" x14ac:dyDescent="0.3">
      <c r="Q407" s="4">
        <v>60350</v>
      </c>
    </row>
    <row r="408" spans="17:17" x14ac:dyDescent="0.3">
      <c r="Q408" s="3">
        <v>61000</v>
      </c>
    </row>
    <row r="409" spans="17:17" x14ac:dyDescent="0.3">
      <c r="Q409" s="4">
        <v>61000</v>
      </c>
    </row>
    <row r="410" spans="17:17" x14ac:dyDescent="0.3">
      <c r="Q410" s="3">
        <v>61000</v>
      </c>
    </row>
    <row r="411" spans="17:17" x14ac:dyDescent="0.3">
      <c r="Q411" s="4">
        <v>61200</v>
      </c>
    </row>
    <row r="412" spans="17:17" x14ac:dyDescent="0.3">
      <c r="Q412" s="3">
        <v>61500</v>
      </c>
    </row>
    <row r="413" spans="17:17" x14ac:dyDescent="0.3">
      <c r="Q413" s="4">
        <v>61500</v>
      </c>
    </row>
    <row r="414" spans="17:17" x14ac:dyDescent="0.3">
      <c r="Q414" s="3">
        <v>62000</v>
      </c>
    </row>
    <row r="415" spans="17:17" x14ac:dyDescent="0.3">
      <c r="Q415" s="4">
        <v>62000</v>
      </c>
    </row>
    <row r="416" spans="17:17" x14ac:dyDescent="0.3">
      <c r="Q416" s="3">
        <v>62000</v>
      </c>
    </row>
    <row r="417" spans="17:17" x14ac:dyDescent="0.3">
      <c r="Q417" s="4">
        <v>62000</v>
      </c>
    </row>
    <row r="418" spans="17:17" x14ac:dyDescent="0.3">
      <c r="Q418" s="3">
        <v>62000</v>
      </c>
    </row>
    <row r="419" spans="17:17" x14ac:dyDescent="0.3">
      <c r="Q419" s="4">
        <v>62000</v>
      </c>
    </row>
    <row r="420" spans="17:17" x14ac:dyDescent="0.3">
      <c r="Q420" s="3">
        <v>62000</v>
      </c>
    </row>
    <row r="421" spans="17:17" x14ac:dyDescent="0.3">
      <c r="Q421" s="4">
        <v>62000</v>
      </c>
    </row>
    <row r="422" spans="17:17" x14ac:dyDescent="0.3">
      <c r="Q422" s="3">
        <v>62000</v>
      </c>
    </row>
    <row r="423" spans="17:17" x14ac:dyDescent="0.3">
      <c r="Q423" s="4">
        <v>62000</v>
      </c>
    </row>
    <row r="424" spans="17:17" x14ac:dyDescent="0.3">
      <c r="Q424" s="3">
        <v>62000</v>
      </c>
    </row>
    <row r="425" spans="17:17" x14ac:dyDescent="0.3">
      <c r="Q425" s="4">
        <v>62000</v>
      </c>
    </row>
    <row r="426" spans="17:17" x14ac:dyDescent="0.3">
      <c r="Q426" s="3">
        <v>62000</v>
      </c>
    </row>
    <row r="427" spans="17:17" x14ac:dyDescent="0.3">
      <c r="Q427" s="4">
        <v>62000</v>
      </c>
    </row>
    <row r="428" spans="17:17" x14ac:dyDescent="0.3">
      <c r="Q428" s="3">
        <v>62000</v>
      </c>
    </row>
    <row r="429" spans="17:17" x14ac:dyDescent="0.3">
      <c r="Q429" s="4">
        <v>62000</v>
      </c>
    </row>
    <row r="430" spans="17:17" x14ac:dyDescent="0.3">
      <c r="Q430" s="3">
        <v>62000</v>
      </c>
    </row>
    <row r="431" spans="17:17" x14ac:dyDescent="0.3">
      <c r="Q431" s="4">
        <v>62000</v>
      </c>
    </row>
    <row r="432" spans="17:17" x14ac:dyDescent="0.3">
      <c r="Q432" s="3">
        <v>62000</v>
      </c>
    </row>
    <row r="433" spans="17:17" x14ac:dyDescent="0.3">
      <c r="Q433" s="4">
        <v>62000</v>
      </c>
    </row>
    <row r="434" spans="17:17" x14ac:dyDescent="0.3">
      <c r="Q434" s="3">
        <v>62000</v>
      </c>
    </row>
    <row r="435" spans="17:17" x14ac:dyDescent="0.3">
      <c r="Q435" s="4">
        <v>62000</v>
      </c>
    </row>
    <row r="436" spans="17:17" x14ac:dyDescent="0.3">
      <c r="Q436" s="3">
        <v>62000</v>
      </c>
    </row>
    <row r="437" spans="17:17" x14ac:dyDescent="0.3">
      <c r="Q437" s="4">
        <v>62400</v>
      </c>
    </row>
    <row r="438" spans="17:17" x14ac:dyDescent="0.3">
      <c r="Q438" s="3">
        <v>62500</v>
      </c>
    </row>
    <row r="439" spans="17:17" x14ac:dyDescent="0.3">
      <c r="Q439" s="4">
        <v>63000</v>
      </c>
    </row>
    <row r="440" spans="17:17" x14ac:dyDescent="0.3">
      <c r="Q440" s="3">
        <v>63000</v>
      </c>
    </row>
    <row r="441" spans="17:17" x14ac:dyDescent="0.3">
      <c r="Q441" s="4">
        <v>63000</v>
      </c>
    </row>
    <row r="442" spans="17:17" x14ac:dyDescent="0.3">
      <c r="Q442" s="3">
        <v>63000</v>
      </c>
    </row>
    <row r="443" spans="17:17" x14ac:dyDescent="0.3">
      <c r="Q443" s="4">
        <v>63000</v>
      </c>
    </row>
    <row r="444" spans="17:17" x14ac:dyDescent="0.3">
      <c r="Q444" s="3">
        <v>63000</v>
      </c>
    </row>
    <row r="445" spans="17:17" x14ac:dyDescent="0.3">
      <c r="Q445" s="4">
        <v>63000</v>
      </c>
    </row>
    <row r="446" spans="17:17" x14ac:dyDescent="0.3">
      <c r="Q446" s="3">
        <v>63000</v>
      </c>
    </row>
    <row r="447" spans="17:17" x14ac:dyDescent="0.3">
      <c r="Q447" s="4">
        <v>63000</v>
      </c>
    </row>
    <row r="448" spans="17:17" x14ac:dyDescent="0.3">
      <c r="Q448" s="3">
        <v>63000</v>
      </c>
    </row>
    <row r="449" spans="17:17" x14ac:dyDescent="0.3">
      <c r="Q449" s="4">
        <v>63000</v>
      </c>
    </row>
    <row r="450" spans="17:17" x14ac:dyDescent="0.3">
      <c r="Q450" s="3">
        <v>63000</v>
      </c>
    </row>
    <row r="451" spans="17:17" x14ac:dyDescent="0.3">
      <c r="Q451" s="4">
        <v>63000</v>
      </c>
    </row>
    <row r="452" spans="17:17" x14ac:dyDescent="0.3">
      <c r="Q452" s="3">
        <v>63000</v>
      </c>
    </row>
    <row r="453" spans="17:17" x14ac:dyDescent="0.3">
      <c r="Q453" s="4">
        <v>63000</v>
      </c>
    </row>
    <row r="454" spans="17:17" x14ac:dyDescent="0.3">
      <c r="Q454" s="3">
        <v>63500</v>
      </c>
    </row>
    <row r="455" spans="17:17" x14ac:dyDescent="0.3">
      <c r="Q455" s="4">
        <v>63700</v>
      </c>
    </row>
    <row r="456" spans="17:17" x14ac:dyDescent="0.3">
      <c r="Q456" s="3">
        <v>64000</v>
      </c>
    </row>
    <row r="457" spans="17:17" x14ac:dyDescent="0.3">
      <c r="Q457" s="4">
        <v>64000</v>
      </c>
    </row>
    <row r="458" spans="17:17" x14ac:dyDescent="0.3">
      <c r="Q458" s="3">
        <v>64000</v>
      </c>
    </row>
    <row r="459" spans="17:17" x14ac:dyDescent="0.3">
      <c r="Q459" s="4">
        <v>64000</v>
      </c>
    </row>
    <row r="460" spans="17:17" x14ac:dyDescent="0.3">
      <c r="Q460" s="3">
        <v>64000</v>
      </c>
    </row>
    <row r="461" spans="17:17" x14ac:dyDescent="0.3">
      <c r="Q461" s="4">
        <v>64000</v>
      </c>
    </row>
    <row r="462" spans="17:17" x14ac:dyDescent="0.3">
      <c r="Q462" s="3">
        <v>64000</v>
      </c>
    </row>
    <row r="463" spans="17:17" x14ac:dyDescent="0.3">
      <c r="Q463" s="4">
        <v>64000</v>
      </c>
    </row>
    <row r="464" spans="17:17" x14ac:dyDescent="0.3">
      <c r="Q464" s="3">
        <v>64000</v>
      </c>
    </row>
    <row r="465" spans="17:17" x14ac:dyDescent="0.3">
      <c r="Q465" s="4">
        <v>64000</v>
      </c>
    </row>
    <row r="466" spans="17:17" x14ac:dyDescent="0.3">
      <c r="Q466" s="3">
        <v>64000</v>
      </c>
    </row>
    <row r="467" spans="17:17" x14ac:dyDescent="0.3">
      <c r="Q467" s="4">
        <v>64800</v>
      </c>
    </row>
    <row r="468" spans="17:17" x14ac:dyDescent="0.3">
      <c r="Q468" s="3">
        <v>65000</v>
      </c>
    </row>
    <row r="469" spans="17:17" x14ac:dyDescent="0.3">
      <c r="Q469" s="4">
        <v>65000</v>
      </c>
    </row>
    <row r="470" spans="17:17" x14ac:dyDescent="0.3">
      <c r="Q470" s="3">
        <v>65000</v>
      </c>
    </row>
    <row r="471" spans="17:17" x14ac:dyDescent="0.3">
      <c r="Q471" s="4">
        <v>65000</v>
      </c>
    </row>
    <row r="472" spans="17:17" x14ac:dyDescent="0.3">
      <c r="Q472" s="3">
        <v>65000</v>
      </c>
    </row>
    <row r="473" spans="17:17" x14ac:dyDescent="0.3">
      <c r="Q473" s="4">
        <v>65000</v>
      </c>
    </row>
    <row r="474" spans="17:17" x14ac:dyDescent="0.3">
      <c r="Q474" s="3">
        <v>65000</v>
      </c>
    </row>
    <row r="475" spans="17:17" x14ac:dyDescent="0.3">
      <c r="Q475" s="4">
        <v>65000</v>
      </c>
    </row>
    <row r="476" spans="17:17" x14ac:dyDescent="0.3">
      <c r="Q476" s="3">
        <v>65000</v>
      </c>
    </row>
    <row r="477" spans="17:17" x14ac:dyDescent="0.3">
      <c r="Q477" s="4">
        <v>65000</v>
      </c>
    </row>
    <row r="478" spans="17:17" x14ac:dyDescent="0.3">
      <c r="Q478" s="3">
        <v>65000</v>
      </c>
    </row>
    <row r="479" spans="17:17" x14ac:dyDescent="0.3">
      <c r="Q479" s="4">
        <v>65000</v>
      </c>
    </row>
    <row r="480" spans="17:17" x14ac:dyDescent="0.3">
      <c r="Q480" s="3">
        <v>65000</v>
      </c>
    </row>
    <row r="481" spans="17:17" x14ac:dyDescent="0.3">
      <c r="Q481" s="4">
        <v>65000</v>
      </c>
    </row>
    <row r="482" spans="17:17" x14ac:dyDescent="0.3">
      <c r="Q482" s="3">
        <v>65000</v>
      </c>
    </row>
    <row r="483" spans="17:17" x14ac:dyDescent="0.3">
      <c r="Q483" s="4">
        <v>65000</v>
      </c>
    </row>
    <row r="484" spans="17:17" x14ac:dyDescent="0.3">
      <c r="Q484" s="3">
        <v>65000</v>
      </c>
    </row>
    <row r="485" spans="17:17" x14ac:dyDescent="0.3">
      <c r="Q485" s="4">
        <v>65000</v>
      </c>
    </row>
    <row r="486" spans="17:17" x14ac:dyDescent="0.3">
      <c r="Q486" s="3">
        <v>65000</v>
      </c>
    </row>
    <row r="487" spans="17:17" x14ac:dyDescent="0.3">
      <c r="Q487" s="4">
        <v>65000</v>
      </c>
    </row>
    <row r="488" spans="17:17" x14ac:dyDescent="0.3">
      <c r="Q488" s="3">
        <v>65000</v>
      </c>
    </row>
    <row r="489" spans="17:17" x14ac:dyDescent="0.3">
      <c r="Q489" s="4">
        <v>65000</v>
      </c>
    </row>
    <row r="490" spans="17:17" x14ac:dyDescent="0.3">
      <c r="Q490" s="3">
        <v>65000</v>
      </c>
    </row>
    <row r="491" spans="17:17" x14ac:dyDescent="0.3">
      <c r="Q491" s="4">
        <v>65000</v>
      </c>
    </row>
    <row r="492" spans="17:17" x14ac:dyDescent="0.3">
      <c r="Q492" s="3">
        <v>65000</v>
      </c>
    </row>
    <row r="493" spans="17:17" x14ac:dyDescent="0.3">
      <c r="Q493" s="4">
        <v>65000</v>
      </c>
    </row>
    <row r="494" spans="17:17" x14ac:dyDescent="0.3">
      <c r="Q494" s="3">
        <v>65000</v>
      </c>
    </row>
    <row r="495" spans="17:17" x14ac:dyDescent="0.3">
      <c r="Q495" s="4">
        <v>65000</v>
      </c>
    </row>
    <row r="496" spans="17:17" x14ac:dyDescent="0.3">
      <c r="Q496" s="3">
        <v>65000</v>
      </c>
    </row>
    <row r="497" spans="17:17" x14ac:dyDescent="0.3">
      <c r="Q497" s="4">
        <v>65000</v>
      </c>
    </row>
    <row r="498" spans="17:17" x14ac:dyDescent="0.3">
      <c r="Q498" s="3">
        <v>65000</v>
      </c>
    </row>
    <row r="499" spans="17:17" x14ac:dyDescent="0.3">
      <c r="Q499" s="4">
        <v>65000</v>
      </c>
    </row>
    <row r="500" spans="17:17" x14ac:dyDescent="0.3">
      <c r="Q500" s="3">
        <v>65000</v>
      </c>
    </row>
    <row r="501" spans="17:17" x14ac:dyDescent="0.3">
      <c r="Q501" s="4">
        <v>65000</v>
      </c>
    </row>
    <row r="502" spans="17:17" x14ac:dyDescent="0.3">
      <c r="Q502" s="3">
        <v>65000</v>
      </c>
    </row>
    <row r="503" spans="17:17" x14ac:dyDescent="0.3">
      <c r="Q503" s="4">
        <v>65000</v>
      </c>
    </row>
    <row r="504" spans="17:17" x14ac:dyDescent="0.3">
      <c r="Q504" s="3">
        <v>65000</v>
      </c>
    </row>
    <row r="505" spans="17:17" x14ac:dyDescent="0.3">
      <c r="Q505" s="4">
        <v>65000</v>
      </c>
    </row>
    <row r="506" spans="17:17" x14ac:dyDescent="0.3">
      <c r="Q506" s="3">
        <v>65000</v>
      </c>
    </row>
    <row r="507" spans="17:17" x14ac:dyDescent="0.3">
      <c r="Q507" s="4">
        <v>65000</v>
      </c>
    </row>
    <row r="508" spans="17:17" x14ac:dyDescent="0.3">
      <c r="Q508" s="3">
        <v>65000</v>
      </c>
    </row>
    <row r="509" spans="17:17" x14ac:dyDescent="0.3">
      <c r="Q509" s="4">
        <v>65000</v>
      </c>
    </row>
    <row r="510" spans="17:17" x14ac:dyDescent="0.3">
      <c r="Q510" s="3">
        <v>65000</v>
      </c>
    </row>
    <row r="511" spans="17:17" x14ac:dyDescent="0.3">
      <c r="Q511" s="4">
        <v>65000</v>
      </c>
    </row>
    <row r="512" spans="17:17" x14ac:dyDescent="0.3">
      <c r="Q512" s="3">
        <v>65000</v>
      </c>
    </row>
    <row r="513" spans="17:17" x14ac:dyDescent="0.3">
      <c r="Q513" s="4">
        <v>65000</v>
      </c>
    </row>
    <row r="514" spans="17:17" x14ac:dyDescent="0.3">
      <c r="Q514" s="3">
        <v>65000</v>
      </c>
    </row>
    <row r="515" spans="17:17" x14ac:dyDescent="0.3">
      <c r="Q515" s="4">
        <v>65000</v>
      </c>
    </row>
    <row r="516" spans="17:17" x14ac:dyDescent="0.3">
      <c r="Q516" s="3">
        <v>65000</v>
      </c>
    </row>
    <row r="517" spans="17:17" x14ac:dyDescent="0.3">
      <c r="Q517" s="4">
        <v>65000</v>
      </c>
    </row>
    <row r="518" spans="17:17" x14ac:dyDescent="0.3">
      <c r="Q518" s="3">
        <v>65000</v>
      </c>
    </row>
    <row r="519" spans="17:17" x14ac:dyDescent="0.3">
      <c r="Q519" s="4">
        <v>65000</v>
      </c>
    </row>
    <row r="520" spans="17:17" x14ac:dyDescent="0.3">
      <c r="Q520" s="3">
        <v>65000</v>
      </c>
    </row>
    <row r="521" spans="17:17" x14ac:dyDescent="0.3">
      <c r="Q521" s="4">
        <v>65000</v>
      </c>
    </row>
    <row r="522" spans="17:17" x14ac:dyDescent="0.3">
      <c r="Q522" s="3">
        <v>65000</v>
      </c>
    </row>
    <row r="523" spans="17:17" x14ac:dyDescent="0.3">
      <c r="Q523" s="4">
        <v>65000</v>
      </c>
    </row>
    <row r="524" spans="17:17" x14ac:dyDescent="0.3">
      <c r="Q524" s="3">
        <v>65000</v>
      </c>
    </row>
    <row r="525" spans="17:17" x14ac:dyDescent="0.3">
      <c r="Q525" s="4">
        <v>65000</v>
      </c>
    </row>
    <row r="526" spans="17:17" x14ac:dyDescent="0.3">
      <c r="Q526" s="3">
        <v>65000</v>
      </c>
    </row>
    <row r="527" spans="17:17" x14ac:dyDescent="0.3">
      <c r="Q527" s="4">
        <v>65000</v>
      </c>
    </row>
    <row r="528" spans="17:17" x14ac:dyDescent="0.3">
      <c r="Q528" s="3">
        <v>65000</v>
      </c>
    </row>
    <row r="529" spans="17:17" x14ac:dyDescent="0.3">
      <c r="Q529" s="4">
        <v>65000</v>
      </c>
    </row>
    <row r="530" spans="17:17" x14ac:dyDescent="0.3">
      <c r="Q530" s="3">
        <v>65000</v>
      </c>
    </row>
    <row r="531" spans="17:17" x14ac:dyDescent="0.3">
      <c r="Q531" s="4">
        <v>65000</v>
      </c>
    </row>
    <row r="532" spans="17:17" x14ac:dyDescent="0.3">
      <c r="Q532" s="3">
        <v>65000</v>
      </c>
    </row>
    <row r="533" spans="17:17" x14ac:dyDescent="0.3">
      <c r="Q533" s="4">
        <v>65000</v>
      </c>
    </row>
    <row r="534" spans="17:17" x14ac:dyDescent="0.3">
      <c r="Q534" s="3">
        <v>65000</v>
      </c>
    </row>
    <row r="535" spans="17:17" x14ac:dyDescent="0.3">
      <c r="Q535" s="4">
        <v>65000</v>
      </c>
    </row>
    <row r="536" spans="17:17" x14ac:dyDescent="0.3">
      <c r="Q536" s="3">
        <v>65000</v>
      </c>
    </row>
    <row r="537" spans="17:17" x14ac:dyDescent="0.3">
      <c r="Q537" s="4">
        <v>65000</v>
      </c>
    </row>
    <row r="538" spans="17:17" x14ac:dyDescent="0.3">
      <c r="Q538" s="3">
        <v>65000</v>
      </c>
    </row>
    <row r="539" spans="17:17" x14ac:dyDescent="0.3">
      <c r="Q539" s="4">
        <v>65000</v>
      </c>
    </row>
    <row r="540" spans="17:17" x14ac:dyDescent="0.3">
      <c r="Q540" s="3">
        <v>65000</v>
      </c>
    </row>
    <row r="541" spans="17:17" x14ac:dyDescent="0.3">
      <c r="Q541" s="4">
        <v>65000</v>
      </c>
    </row>
    <row r="542" spans="17:17" x14ac:dyDescent="0.3">
      <c r="Q542" s="3">
        <v>65000</v>
      </c>
    </row>
    <row r="543" spans="17:17" x14ac:dyDescent="0.3">
      <c r="Q543" s="4">
        <v>65000</v>
      </c>
    </row>
    <row r="544" spans="17:17" x14ac:dyDescent="0.3">
      <c r="Q544" s="3">
        <v>65000</v>
      </c>
    </row>
    <row r="545" spans="17:17" x14ac:dyDescent="0.3">
      <c r="Q545" s="4">
        <v>65400</v>
      </c>
    </row>
    <row r="546" spans="17:17" x14ac:dyDescent="0.3">
      <c r="Q546" s="3">
        <v>65600</v>
      </c>
    </row>
    <row r="547" spans="17:17" x14ac:dyDescent="0.3">
      <c r="Q547" s="4">
        <v>65900</v>
      </c>
    </row>
    <row r="548" spans="17:17" x14ac:dyDescent="0.3">
      <c r="Q548" s="3">
        <v>66000</v>
      </c>
    </row>
    <row r="549" spans="17:17" x14ac:dyDescent="0.3">
      <c r="Q549" s="4">
        <v>66000</v>
      </c>
    </row>
    <row r="550" spans="17:17" x14ac:dyDescent="0.3">
      <c r="Q550" s="3">
        <v>66000</v>
      </c>
    </row>
    <row r="551" spans="17:17" x14ac:dyDescent="0.3">
      <c r="Q551" s="4">
        <v>66000</v>
      </c>
    </row>
    <row r="552" spans="17:17" x14ac:dyDescent="0.3">
      <c r="Q552" s="3">
        <v>66000</v>
      </c>
    </row>
    <row r="553" spans="17:17" x14ac:dyDescent="0.3">
      <c r="Q553" s="4">
        <v>66000</v>
      </c>
    </row>
    <row r="554" spans="17:17" x14ac:dyDescent="0.3">
      <c r="Q554" s="3">
        <v>66000</v>
      </c>
    </row>
    <row r="555" spans="17:17" x14ac:dyDescent="0.3">
      <c r="Q555" s="4">
        <v>66000</v>
      </c>
    </row>
    <row r="556" spans="17:17" x14ac:dyDescent="0.3">
      <c r="Q556" s="3">
        <v>66000</v>
      </c>
    </row>
    <row r="557" spans="17:17" x14ac:dyDescent="0.3">
      <c r="Q557" s="4">
        <v>66000</v>
      </c>
    </row>
    <row r="558" spans="17:17" x14ac:dyDescent="0.3">
      <c r="Q558" s="3">
        <v>66000</v>
      </c>
    </row>
    <row r="559" spans="17:17" x14ac:dyDescent="0.3">
      <c r="Q559" s="4">
        <v>66000</v>
      </c>
    </row>
    <row r="560" spans="17:17" x14ac:dyDescent="0.3">
      <c r="Q560" s="3">
        <v>66000</v>
      </c>
    </row>
    <row r="561" spans="17:17" x14ac:dyDescent="0.3">
      <c r="Q561" s="4">
        <v>66000</v>
      </c>
    </row>
    <row r="562" spans="17:17" x14ac:dyDescent="0.3">
      <c r="Q562" s="3">
        <v>66000</v>
      </c>
    </row>
    <row r="563" spans="17:17" x14ac:dyDescent="0.3">
      <c r="Q563" s="4">
        <v>66300</v>
      </c>
    </row>
    <row r="564" spans="17:17" x14ac:dyDescent="0.3">
      <c r="Q564" s="3">
        <v>66500</v>
      </c>
    </row>
    <row r="565" spans="17:17" x14ac:dyDescent="0.3">
      <c r="Q565" s="4">
        <v>66800</v>
      </c>
    </row>
    <row r="566" spans="17:17" x14ac:dyDescent="0.3">
      <c r="Q566" s="3">
        <v>67000</v>
      </c>
    </row>
    <row r="567" spans="17:17" x14ac:dyDescent="0.3">
      <c r="Q567" s="4">
        <v>67000</v>
      </c>
    </row>
    <row r="568" spans="17:17" x14ac:dyDescent="0.3">
      <c r="Q568" s="3">
        <v>67000</v>
      </c>
    </row>
    <row r="569" spans="17:17" x14ac:dyDescent="0.3">
      <c r="Q569" s="4">
        <v>67000</v>
      </c>
    </row>
    <row r="570" spans="17:17" x14ac:dyDescent="0.3">
      <c r="Q570" s="3">
        <v>67000</v>
      </c>
    </row>
    <row r="571" spans="17:17" x14ac:dyDescent="0.3">
      <c r="Q571" s="4">
        <v>67000</v>
      </c>
    </row>
    <row r="572" spans="17:17" x14ac:dyDescent="0.3">
      <c r="Q572" s="3">
        <v>67000</v>
      </c>
    </row>
    <row r="573" spans="17:17" x14ac:dyDescent="0.3">
      <c r="Q573" s="4">
        <v>67000</v>
      </c>
    </row>
    <row r="574" spans="17:17" x14ac:dyDescent="0.3">
      <c r="Q574" s="3">
        <v>67000</v>
      </c>
    </row>
    <row r="575" spans="17:17" x14ac:dyDescent="0.3">
      <c r="Q575" s="4">
        <v>67000</v>
      </c>
    </row>
    <row r="576" spans="17:17" x14ac:dyDescent="0.3">
      <c r="Q576" s="3">
        <v>67000</v>
      </c>
    </row>
    <row r="577" spans="17:17" x14ac:dyDescent="0.3">
      <c r="Q577" s="4">
        <v>67000</v>
      </c>
    </row>
    <row r="578" spans="17:17" x14ac:dyDescent="0.3">
      <c r="Q578" s="3">
        <v>67200</v>
      </c>
    </row>
    <row r="579" spans="17:17" x14ac:dyDescent="0.3">
      <c r="Q579" s="4">
        <v>67473</v>
      </c>
    </row>
    <row r="580" spans="17:17" x14ac:dyDescent="0.3">
      <c r="Q580" s="3">
        <v>67500</v>
      </c>
    </row>
    <row r="581" spans="17:17" x14ac:dyDescent="0.3">
      <c r="Q581" s="4">
        <v>67500</v>
      </c>
    </row>
    <row r="582" spans="17:17" x14ac:dyDescent="0.3">
      <c r="Q582" s="3">
        <v>67500</v>
      </c>
    </row>
    <row r="583" spans="17:17" x14ac:dyDescent="0.3">
      <c r="Q583" s="4">
        <v>68000</v>
      </c>
    </row>
    <row r="584" spans="17:17" x14ac:dyDescent="0.3">
      <c r="Q584" s="3">
        <v>68000</v>
      </c>
    </row>
    <row r="585" spans="17:17" x14ac:dyDescent="0.3">
      <c r="Q585" s="4">
        <v>68000</v>
      </c>
    </row>
    <row r="586" spans="17:17" x14ac:dyDescent="0.3">
      <c r="Q586" s="3">
        <v>68000</v>
      </c>
    </row>
    <row r="587" spans="17:17" x14ac:dyDescent="0.3">
      <c r="Q587" s="4">
        <v>68000</v>
      </c>
    </row>
    <row r="588" spans="17:17" x14ac:dyDescent="0.3">
      <c r="Q588" s="3">
        <v>68000</v>
      </c>
    </row>
    <row r="589" spans="17:17" x14ac:dyDescent="0.3">
      <c r="Q589" s="4">
        <v>68000</v>
      </c>
    </row>
    <row r="590" spans="17:17" x14ac:dyDescent="0.3">
      <c r="Q590" s="3">
        <v>68000</v>
      </c>
    </row>
    <row r="591" spans="17:17" x14ac:dyDescent="0.3">
      <c r="Q591" s="4">
        <v>68000</v>
      </c>
    </row>
    <row r="592" spans="17:17" x14ac:dyDescent="0.3">
      <c r="Q592" s="3">
        <v>68000</v>
      </c>
    </row>
    <row r="593" spans="17:17" x14ac:dyDescent="0.3">
      <c r="Q593" s="4">
        <v>68000</v>
      </c>
    </row>
    <row r="594" spans="17:17" x14ac:dyDescent="0.3">
      <c r="Q594" s="3">
        <v>68000</v>
      </c>
    </row>
    <row r="595" spans="17:17" x14ac:dyDescent="0.3">
      <c r="Q595" s="4">
        <v>68000</v>
      </c>
    </row>
    <row r="596" spans="17:17" x14ac:dyDescent="0.3">
      <c r="Q596" s="3">
        <v>68000</v>
      </c>
    </row>
    <row r="597" spans="17:17" x14ac:dyDescent="0.3">
      <c r="Q597" s="4">
        <v>68000</v>
      </c>
    </row>
    <row r="598" spans="17:17" x14ac:dyDescent="0.3">
      <c r="Q598" s="3">
        <v>68000</v>
      </c>
    </row>
    <row r="599" spans="17:17" x14ac:dyDescent="0.3">
      <c r="Q599" s="4">
        <v>68000</v>
      </c>
    </row>
    <row r="600" spans="17:17" x14ac:dyDescent="0.3">
      <c r="Q600" s="3">
        <v>68000</v>
      </c>
    </row>
    <row r="601" spans="17:17" x14ac:dyDescent="0.3">
      <c r="Q601" s="4">
        <v>68000</v>
      </c>
    </row>
    <row r="602" spans="17:17" x14ac:dyDescent="0.3">
      <c r="Q602" s="3">
        <v>68000</v>
      </c>
    </row>
    <row r="603" spans="17:17" x14ac:dyDescent="0.3">
      <c r="Q603" s="4">
        <v>68000</v>
      </c>
    </row>
    <row r="604" spans="17:17" x14ac:dyDescent="0.3">
      <c r="Q604" s="3">
        <v>68000</v>
      </c>
    </row>
    <row r="605" spans="17:17" x14ac:dyDescent="0.3">
      <c r="Q605" s="4">
        <v>68000</v>
      </c>
    </row>
    <row r="606" spans="17:17" x14ac:dyDescent="0.3">
      <c r="Q606" s="3">
        <v>68000</v>
      </c>
    </row>
    <row r="607" spans="17:17" x14ac:dyDescent="0.3">
      <c r="Q607" s="4">
        <v>68250</v>
      </c>
    </row>
    <row r="608" spans="17:17" x14ac:dyDescent="0.3">
      <c r="Q608" s="3">
        <v>68500</v>
      </c>
    </row>
    <row r="609" spans="17:17" x14ac:dyDescent="0.3">
      <c r="Q609" s="4">
        <v>68500</v>
      </c>
    </row>
    <row r="610" spans="17:17" x14ac:dyDescent="0.3">
      <c r="Q610" s="3">
        <v>68500</v>
      </c>
    </row>
    <row r="611" spans="17:17" x14ac:dyDescent="0.3">
      <c r="Q611" s="4">
        <v>68500</v>
      </c>
    </row>
    <row r="612" spans="17:17" x14ac:dyDescent="0.3">
      <c r="Q612" s="3">
        <v>68500</v>
      </c>
    </row>
    <row r="613" spans="17:17" x14ac:dyDescent="0.3">
      <c r="Q613" s="4">
        <v>69000</v>
      </c>
    </row>
    <row r="614" spans="17:17" x14ac:dyDescent="0.3">
      <c r="Q614" s="3">
        <v>69000</v>
      </c>
    </row>
    <row r="615" spans="17:17" x14ac:dyDescent="0.3">
      <c r="Q615" s="4">
        <v>69000</v>
      </c>
    </row>
    <row r="616" spans="17:17" x14ac:dyDescent="0.3">
      <c r="Q616" s="3">
        <v>69000</v>
      </c>
    </row>
    <row r="617" spans="17:17" x14ac:dyDescent="0.3">
      <c r="Q617" s="4">
        <v>69000</v>
      </c>
    </row>
    <row r="618" spans="17:17" x14ac:dyDescent="0.3">
      <c r="Q618" s="3">
        <v>69000</v>
      </c>
    </row>
    <row r="619" spans="17:17" x14ac:dyDescent="0.3">
      <c r="Q619" s="4">
        <v>69000</v>
      </c>
    </row>
    <row r="620" spans="17:17" x14ac:dyDescent="0.3">
      <c r="Q620" s="3">
        <v>69200</v>
      </c>
    </row>
    <row r="621" spans="17:17" x14ac:dyDescent="0.3">
      <c r="Q621" s="4">
        <v>70000</v>
      </c>
    </row>
    <row r="622" spans="17:17" x14ac:dyDescent="0.3">
      <c r="Q622" s="3">
        <v>70000</v>
      </c>
    </row>
    <row r="623" spans="17:17" x14ac:dyDescent="0.3">
      <c r="Q623" s="4">
        <v>70000</v>
      </c>
    </row>
    <row r="624" spans="17:17" x14ac:dyDescent="0.3">
      <c r="Q624" s="3">
        <v>70000</v>
      </c>
    </row>
    <row r="625" spans="17:17" x14ac:dyDescent="0.3">
      <c r="Q625" s="4">
        <v>70000</v>
      </c>
    </row>
    <row r="626" spans="17:17" x14ac:dyDescent="0.3">
      <c r="Q626" s="3">
        <v>70000</v>
      </c>
    </row>
    <row r="627" spans="17:17" x14ac:dyDescent="0.3">
      <c r="Q627" s="4">
        <v>70000</v>
      </c>
    </row>
    <row r="628" spans="17:17" x14ac:dyDescent="0.3">
      <c r="Q628" s="3">
        <v>70000</v>
      </c>
    </row>
    <row r="629" spans="17:17" x14ac:dyDescent="0.3">
      <c r="Q629" s="4">
        <v>70000</v>
      </c>
    </row>
    <row r="630" spans="17:17" x14ac:dyDescent="0.3">
      <c r="Q630" s="3">
        <v>70000</v>
      </c>
    </row>
    <row r="631" spans="17:17" x14ac:dyDescent="0.3">
      <c r="Q631" s="4">
        <v>70000</v>
      </c>
    </row>
    <row r="632" spans="17:17" x14ac:dyDescent="0.3">
      <c r="Q632" s="3">
        <v>70000</v>
      </c>
    </row>
    <row r="633" spans="17:17" x14ac:dyDescent="0.3">
      <c r="Q633" s="4">
        <v>70000</v>
      </c>
    </row>
    <row r="634" spans="17:17" x14ac:dyDescent="0.3">
      <c r="Q634" s="3">
        <v>70000</v>
      </c>
    </row>
    <row r="635" spans="17:17" x14ac:dyDescent="0.3">
      <c r="Q635" s="4">
        <v>70000</v>
      </c>
    </row>
    <row r="636" spans="17:17" x14ac:dyDescent="0.3">
      <c r="Q636" s="3">
        <v>70000</v>
      </c>
    </row>
    <row r="637" spans="17:17" x14ac:dyDescent="0.3">
      <c r="Q637" s="4">
        <v>70000</v>
      </c>
    </row>
    <row r="638" spans="17:17" x14ac:dyDescent="0.3">
      <c r="Q638" s="3">
        <v>70000</v>
      </c>
    </row>
    <row r="639" spans="17:17" x14ac:dyDescent="0.3">
      <c r="Q639" s="4">
        <v>70000</v>
      </c>
    </row>
    <row r="640" spans="17:17" x14ac:dyDescent="0.3">
      <c r="Q640" s="3">
        <v>70000</v>
      </c>
    </row>
    <row r="641" spans="17:17" x14ac:dyDescent="0.3">
      <c r="Q641" s="4">
        <v>70000</v>
      </c>
    </row>
    <row r="642" spans="17:17" x14ac:dyDescent="0.3">
      <c r="Q642" s="3">
        <v>70000</v>
      </c>
    </row>
    <row r="643" spans="17:17" x14ac:dyDescent="0.3">
      <c r="Q643" s="4">
        <v>70000</v>
      </c>
    </row>
    <row r="644" spans="17:17" x14ac:dyDescent="0.3">
      <c r="Q644" s="3">
        <v>70000</v>
      </c>
    </row>
    <row r="645" spans="17:17" x14ac:dyDescent="0.3">
      <c r="Q645" s="4">
        <v>70000</v>
      </c>
    </row>
    <row r="646" spans="17:17" x14ac:dyDescent="0.3">
      <c r="Q646" s="3">
        <v>70000</v>
      </c>
    </row>
    <row r="647" spans="17:17" x14ac:dyDescent="0.3">
      <c r="Q647" s="4">
        <v>70000</v>
      </c>
    </row>
    <row r="648" spans="17:17" x14ac:dyDescent="0.3">
      <c r="Q648" s="3">
        <v>70000</v>
      </c>
    </row>
    <row r="649" spans="17:17" x14ac:dyDescent="0.3">
      <c r="Q649" s="4">
        <v>70000</v>
      </c>
    </row>
    <row r="650" spans="17:17" x14ac:dyDescent="0.3">
      <c r="Q650" s="3">
        <v>70000</v>
      </c>
    </row>
    <row r="651" spans="17:17" x14ac:dyDescent="0.3">
      <c r="Q651" s="4">
        <v>70000</v>
      </c>
    </row>
    <row r="652" spans="17:17" x14ac:dyDescent="0.3">
      <c r="Q652" s="3">
        <v>70000</v>
      </c>
    </row>
    <row r="653" spans="17:17" x14ac:dyDescent="0.3">
      <c r="Q653" s="4">
        <v>70000</v>
      </c>
    </row>
    <row r="654" spans="17:17" x14ac:dyDescent="0.3">
      <c r="Q654" s="3">
        <v>70000</v>
      </c>
    </row>
    <row r="655" spans="17:17" x14ac:dyDescent="0.3">
      <c r="Q655" s="4">
        <v>70000</v>
      </c>
    </row>
    <row r="656" spans="17:17" x14ac:dyDescent="0.3">
      <c r="Q656" s="3">
        <v>70000</v>
      </c>
    </row>
    <row r="657" spans="17:17" x14ac:dyDescent="0.3">
      <c r="Q657" s="4">
        <v>70000</v>
      </c>
    </row>
    <row r="658" spans="17:17" x14ac:dyDescent="0.3">
      <c r="Q658" s="3">
        <v>70000</v>
      </c>
    </row>
    <row r="659" spans="17:17" x14ac:dyDescent="0.3">
      <c r="Q659" s="4">
        <v>70000</v>
      </c>
    </row>
    <row r="660" spans="17:17" x14ac:dyDescent="0.3">
      <c r="Q660" s="3">
        <v>70000</v>
      </c>
    </row>
    <row r="661" spans="17:17" x14ac:dyDescent="0.3">
      <c r="Q661" s="4">
        <v>70000</v>
      </c>
    </row>
    <row r="662" spans="17:17" x14ac:dyDescent="0.3">
      <c r="Q662" s="3">
        <v>70000</v>
      </c>
    </row>
    <row r="663" spans="17:17" x14ac:dyDescent="0.3">
      <c r="Q663" s="4">
        <v>70000</v>
      </c>
    </row>
    <row r="664" spans="17:17" x14ac:dyDescent="0.3">
      <c r="Q664" s="3">
        <v>70000</v>
      </c>
    </row>
    <row r="665" spans="17:17" x14ac:dyDescent="0.3">
      <c r="Q665" s="4">
        <v>70000</v>
      </c>
    </row>
    <row r="666" spans="17:17" x14ac:dyDescent="0.3">
      <c r="Q666" s="3">
        <v>70000</v>
      </c>
    </row>
    <row r="667" spans="17:17" x14ac:dyDescent="0.3">
      <c r="Q667" s="4">
        <v>70000</v>
      </c>
    </row>
    <row r="668" spans="17:17" x14ac:dyDescent="0.3">
      <c r="Q668" s="3">
        <v>70000</v>
      </c>
    </row>
    <row r="669" spans="17:17" x14ac:dyDescent="0.3">
      <c r="Q669" s="4">
        <v>70000</v>
      </c>
    </row>
    <row r="670" spans="17:17" x14ac:dyDescent="0.3">
      <c r="Q670" s="3">
        <v>70000</v>
      </c>
    </row>
    <row r="671" spans="17:17" x14ac:dyDescent="0.3">
      <c r="Q671" s="4">
        <v>70000</v>
      </c>
    </row>
    <row r="672" spans="17:17" x14ac:dyDescent="0.3">
      <c r="Q672" s="3">
        <v>70000</v>
      </c>
    </row>
    <row r="673" spans="17:17" x14ac:dyDescent="0.3">
      <c r="Q673" s="4">
        <v>70000</v>
      </c>
    </row>
    <row r="674" spans="17:17" x14ac:dyDescent="0.3">
      <c r="Q674" s="3">
        <v>70000</v>
      </c>
    </row>
    <row r="675" spans="17:17" x14ac:dyDescent="0.3">
      <c r="Q675" s="4">
        <v>70000</v>
      </c>
    </row>
    <row r="676" spans="17:17" x14ac:dyDescent="0.3">
      <c r="Q676" s="3">
        <v>70000</v>
      </c>
    </row>
    <row r="677" spans="17:17" x14ac:dyDescent="0.3">
      <c r="Q677" s="4">
        <v>70000</v>
      </c>
    </row>
    <row r="678" spans="17:17" x14ac:dyDescent="0.3">
      <c r="Q678" s="3">
        <v>70000</v>
      </c>
    </row>
    <row r="679" spans="17:17" x14ac:dyDescent="0.3">
      <c r="Q679" s="4">
        <v>70000</v>
      </c>
    </row>
    <row r="680" spans="17:17" x14ac:dyDescent="0.3">
      <c r="Q680" s="3">
        <v>70000</v>
      </c>
    </row>
    <row r="681" spans="17:17" x14ac:dyDescent="0.3">
      <c r="Q681" s="4">
        <v>70000</v>
      </c>
    </row>
    <row r="682" spans="17:17" x14ac:dyDescent="0.3">
      <c r="Q682" s="3">
        <v>70000</v>
      </c>
    </row>
    <row r="683" spans="17:17" x14ac:dyDescent="0.3">
      <c r="Q683" s="4">
        <v>70000</v>
      </c>
    </row>
    <row r="684" spans="17:17" x14ac:dyDescent="0.3">
      <c r="Q684" s="3">
        <v>70000</v>
      </c>
    </row>
    <row r="685" spans="17:17" x14ac:dyDescent="0.3">
      <c r="Q685" s="4">
        <v>70000</v>
      </c>
    </row>
    <row r="686" spans="17:17" x14ac:dyDescent="0.3">
      <c r="Q686" s="3">
        <v>70000</v>
      </c>
    </row>
    <row r="687" spans="17:17" x14ac:dyDescent="0.3">
      <c r="Q687" s="4">
        <v>70000</v>
      </c>
    </row>
    <row r="688" spans="17:17" x14ac:dyDescent="0.3">
      <c r="Q688" s="3">
        <v>70000</v>
      </c>
    </row>
    <row r="689" spans="17:17" x14ac:dyDescent="0.3">
      <c r="Q689" s="4">
        <v>70000</v>
      </c>
    </row>
    <row r="690" spans="17:17" x14ac:dyDescent="0.3">
      <c r="Q690" s="3">
        <v>70000</v>
      </c>
    </row>
    <row r="691" spans="17:17" x14ac:dyDescent="0.3">
      <c r="Q691" s="4">
        <v>70000</v>
      </c>
    </row>
    <row r="692" spans="17:17" x14ac:dyDescent="0.3">
      <c r="Q692" s="3">
        <v>70000</v>
      </c>
    </row>
    <row r="693" spans="17:17" x14ac:dyDescent="0.3">
      <c r="Q693" s="4">
        <v>70000</v>
      </c>
    </row>
    <row r="694" spans="17:17" x14ac:dyDescent="0.3">
      <c r="Q694" s="3">
        <v>70000</v>
      </c>
    </row>
    <row r="695" spans="17:17" x14ac:dyDescent="0.3">
      <c r="Q695" s="4">
        <v>70000</v>
      </c>
    </row>
    <row r="696" spans="17:17" x14ac:dyDescent="0.3">
      <c r="Q696" s="3">
        <v>70000</v>
      </c>
    </row>
    <row r="697" spans="17:17" x14ac:dyDescent="0.3">
      <c r="Q697" s="4">
        <v>70000</v>
      </c>
    </row>
    <row r="698" spans="17:17" x14ac:dyDescent="0.3">
      <c r="Q698" s="3">
        <v>70000</v>
      </c>
    </row>
    <row r="699" spans="17:17" x14ac:dyDescent="0.3">
      <c r="Q699" s="4">
        <v>70000</v>
      </c>
    </row>
    <row r="700" spans="17:17" x14ac:dyDescent="0.3">
      <c r="Q700" s="3">
        <v>70000</v>
      </c>
    </row>
    <row r="701" spans="17:17" x14ac:dyDescent="0.3">
      <c r="Q701" s="4">
        <v>70000</v>
      </c>
    </row>
    <row r="702" spans="17:17" x14ac:dyDescent="0.3">
      <c r="Q702" s="3">
        <v>70000</v>
      </c>
    </row>
    <row r="703" spans="17:17" x14ac:dyDescent="0.3">
      <c r="Q703" s="4">
        <v>70000</v>
      </c>
    </row>
    <row r="704" spans="17:17" x14ac:dyDescent="0.3">
      <c r="Q704" s="3">
        <v>70200</v>
      </c>
    </row>
    <row r="705" spans="17:17" x14ac:dyDescent="0.3">
      <c r="Q705" s="4">
        <v>70200</v>
      </c>
    </row>
    <row r="706" spans="17:17" x14ac:dyDescent="0.3">
      <c r="Q706" s="3">
        <v>70500</v>
      </c>
    </row>
    <row r="707" spans="17:17" x14ac:dyDescent="0.3">
      <c r="Q707" s="4">
        <v>70500</v>
      </c>
    </row>
    <row r="708" spans="17:17" x14ac:dyDescent="0.3">
      <c r="Q708" s="3">
        <v>70800</v>
      </c>
    </row>
    <row r="709" spans="17:17" x14ac:dyDescent="0.3">
      <c r="Q709" s="4">
        <v>70800</v>
      </c>
    </row>
    <row r="710" spans="17:17" x14ac:dyDescent="0.3">
      <c r="Q710" s="3">
        <v>71000</v>
      </c>
    </row>
    <row r="711" spans="17:17" x14ac:dyDescent="0.3">
      <c r="Q711" s="4">
        <v>71000</v>
      </c>
    </row>
    <row r="712" spans="17:17" x14ac:dyDescent="0.3">
      <c r="Q712" s="3">
        <v>71000</v>
      </c>
    </row>
    <row r="713" spans="17:17" x14ac:dyDescent="0.3">
      <c r="Q713" s="4">
        <v>71000</v>
      </c>
    </row>
    <row r="714" spans="17:17" x14ac:dyDescent="0.3">
      <c r="Q714" s="3">
        <v>71060</v>
      </c>
    </row>
    <row r="715" spans="17:17" x14ac:dyDescent="0.3">
      <c r="Q715" s="4">
        <v>71750</v>
      </c>
    </row>
    <row r="716" spans="17:17" x14ac:dyDescent="0.3">
      <c r="Q716" s="3">
        <v>72000</v>
      </c>
    </row>
    <row r="717" spans="17:17" x14ac:dyDescent="0.3">
      <c r="Q717" s="4">
        <v>72000</v>
      </c>
    </row>
    <row r="718" spans="17:17" x14ac:dyDescent="0.3">
      <c r="Q718" s="3">
        <v>72000</v>
      </c>
    </row>
    <row r="719" spans="17:17" x14ac:dyDescent="0.3">
      <c r="Q719" s="4">
        <v>72000</v>
      </c>
    </row>
    <row r="720" spans="17:17" x14ac:dyDescent="0.3">
      <c r="Q720" s="3">
        <v>72000</v>
      </c>
    </row>
    <row r="721" spans="17:17" x14ac:dyDescent="0.3">
      <c r="Q721" s="4">
        <v>72000</v>
      </c>
    </row>
    <row r="722" spans="17:17" x14ac:dyDescent="0.3">
      <c r="Q722" s="3">
        <v>72000</v>
      </c>
    </row>
    <row r="723" spans="17:17" x14ac:dyDescent="0.3">
      <c r="Q723" s="4">
        <v>72000</v>
      </c>
    </row>
    <row r="724" spans="17:17" x14ac:dyDescent="0.3">
      <c r="Q724" s="3">
        <v>72000</v>
      </c>
    </row>
    <row r="725" spans="17:17" x14ac:dyDescent="0.3">
      <c r="Q725" s="4">
        <v>72000</v>
      </c>
    </row>
    <row r="726" spans="17:17" x14ac:dyDescent="0.3">
      <c r="Q726" s="3">
        <v>72000</v>
      </c>
    </row>
    <row r="727" spans="17:17" x14ac:dyDescent="0.3">
      <c r="Q727" s="4">
        <v>72000</v>
      </c>
    </row>
    <row r="728" spans="17:17" x14ac:dyDescent="0.3">
      <c r="Q728" s="3">
        <v>72000</v>
      </c>
    </row>
    <row r="729" spans="17:17" x14ac:dyDescent="0.3">
      <c r="Q729" s="4">
        <v>72000</v>
      </c>
    </row>
    <row r="730" spans="17:17" x14ac:dyDescent="0.3">
      <c r="Q730" s="3">
        <v>72000</v>
      </c>
    </row>
    <row r="731" spans="17:17" x14ac:dyDescent="0.3">
      <c r="Q731" s="4">
        <v>72000</v>
      </c>
    </row>
    <row r="732" spans="17:17" x14ac:dyDescent="0.3">
      <c r="Q732" s="3">
        <v>72000</v>
      </c>
    </row>
    <row r="733" spans="17:17" x14ac:dyDescent="0.3">
      <c r="Q733" s="4">
        <v>72000</v>
      </c>
    </row>
    <row r="734" spans="17:17" x14ac:dyDescent="0.3">
      <c r="Q734" s="3">
        <v>72000</v>
      </c>
    </row>
    <row r="735" spans="17:17" x14ac:dyDescent="0.3">
      <c r="Q735" s="4">
        <v>72000</v>
      </c>
    </row>
    <row r="736" spans="17:17" x14ac:dyDescent="0.3">
      <c r="Q736" s="3">
        <v>72000</v>
      </c>
    </row>
    <row r="737" spans="17:17" x14ac:dyDescent="0.3">
      <c r="Q737" s="4">
        <v>72000</v>
      </c>
    </row>
    <row r="738" spans="17:17" x14ac:dyDescent="0.3">
      <c r="Q738" s="3">
        <v>72000</v>
      </c>
    </row>
    <row r="739" spans="17:17" x14ac:dyDescent="0.3">
      <c r="Q739" s="4">
        <v>72000</v>
      </c>
    </row>
    <row r="740" spans="17:17" x14ac:dyDescent="0.3">
      <c r="Q740" s="3">
        <v>72000</v>
      </c>
    </row>
    <row r="741" spans="17:17" x14ac:dyDescent="0.3">
      <c r="Q741" s="4">
        <v>72000</v>
      </c>
    </row>
    <row r="742" spans="17:17" x14ac:dyDescent="0.3">
      <c r="Q742" s="3">
        <v>72000</v>
      </c>
    </row>
    <row r="743" spans="17:17" x14ac:dyDescent="0.3">
      <c r="Q743" s="4">
        <v>72000</v>
      </c>
    </row>
    <row r="744" spans="17:17" x14ac:dyDescent="0.3">
      <c r="Q744" s="3">
        <v>72000</v>
      </c>
    </row>
    <row r="745" spans="17:17" x14ac:dyDescent="0.3">
      <c r="Q745" s="4">
        <v>72000</v>
      </c>
    </row>
    <row r="746" spans="17:17" x14ac:dyDescent="0.3">
      <c r="Q746" s="3">
        <v>72000</v>
      </c>
    </row>
    <row r="747" spans="17:17" x14ac:dyDescent="0.3">
      <c r="Q747" s="4">
        <v>72000</v>
      </c>
    </row>
    <row r="748" spans="17:17" x14ac:dyDescent="0.3">
      <c r="Q748" s="3">
        <v>72500</v>
      </c>
    </row>
    <row r="749" spans="17:17" x14ac:dyDescent="0.3">
      <c r="Q749" s="4">
        <v>73000</v>
      </c>
    </row>
    <row r="750" spans="17:17" x14ac:dyDescent="0.3">
      <c r="Q750" s="3">
        <v>73000</v>
      </c>
    </row>
    <row r="751" spans="17:17" x14ac:dyDescent="0.3">
      <c r="Q751" s="4">
        <v>73000</v>
      </c>
    </row>
    <row r="752" spans="17:17" x14ac:dyDescent="0.3">
      <c r="Q752" s="3">
        <v>73000</v>
      </c>
    </row>
    <row r="753" spans="17:17" x14ac:dyDescent="0.3">
      <c r="Q753" s="4">
        <v>73000</v>
      </c>
    </row>
    <row r="754" spans="17:17" x14ac:dyDescent="0.3">
      <c r="Q754" s="3">
        <v>73000</v>
      </c>
    </row>
    <row r="755" spans="17:17" x14ac:dyDescent="0.3">
      <c r="Q755" s="4">
        <v>73000</v>
      </c>
    </row>
    <row r="756" spans="17:17" x14ac:dyDescent="0.3">
      <c r="Q756" s="3">
        <v>73000</v>
      </c>
    </row>
    <row r="757" spans="17:17" x14ac:dyDescent="0.3">
      <c r="Q757" s="4">
        <v>73000</v>
      </c>
    </row>
    <row r="758" spans="17:17" x14ac:dyDescent="0.3">
      <c r="Q758" s="3">
        <v>73000</v>
      </c>
    </row>
    <row r="759" spans="17:17" x14ac:dyDescent="0.3">
      <c r="Q759" s="4">
        <v>73500</v>
      </c>
    </row>
    <row r="760" spans="17:17" x14ac:dyDescent="0.3">
      <c r="Q760" s="3">
        <v>73700</v>
      </c>
    </row>
    <row r="761" spans="17:17" x14ac:dyDescent="0.3">
      <c r="Q761" s="4">
        <v>74000</v>
      </c>
    </row>
    <row r="762" spans="17:17" x14ac:dyDescent="0.3">
      <c r="Q762" s="3">
        <v>74000</v>
      </c>
    </row>
    <row r="763" spans="17:17" x14ac:dyDescent="0.3">
      <c r="Q763" s="4">
        <v>74000</v>
      </c>
    </row>
    <row r="764" spans="17:17" x14ac:dyDescent="0.3">
      <c r="Q764" s="3">
        <v>74000</v>
      </c>
    </row>
    <row r="765" spans="17:17" x14ac:dyDescent="0.3">
      <c r="Q765" s="4">
        <v>74000</v>
      </c>
    </row>
    <row r="766" spans="17:17" x14ac:dyDescent="0.3">
      <c r="Q766" s="3">
        <v>74000</v>
      </c>
    </row>
    <row r="767" spans="17:17" x14ac:dyDescent="0.3">
      <c r="Q767" s="4">
        <v>74000</v>
      </c>
    </row>
    <row r="768" spans="17:17" x14ac:dyDescent="0.3">
      <c r="Q768" s="3">
        <v>74000</v>
      </c>
    </row>
    <row r="769" spans="17:17" x14ac:dyDescent="0.3">
      <c r="Q769" s="4">
        <v>74000</v>
      </c>
    </row>
    <row r="770" spans="17:17" x14ac:dyDescent="0.3">
      <c r="Q770" s="3">
        <v>74000</v>
      </c>
    </row>
    <row r="771" spans="17:17" x14ac:dyDescent="0.3">
      <c r="Q771" s="4">
        <v>74000</v>
      </c>
    </row>
    <row r="772" spans="17:17" x14ac:dyDescent="0.3">
      <c r="Q772" s="3">
        <v>74000</v>
      </c>
    </row>
    <row r="773" spans="17:17" x14ac:dyDescent="0.3">
      <c r="Q773" s="4">
        <v>74000</v>
      </c>
    </row>
    <row r="774" spans="17:17" x14ac:dyDescent="0.3">
      <c r="Q774" s="3">
        <v>74400</v>
      </c>
    </row>
    <row r="775" spans="17:17" x14ac:dyDescent="0.3">
      <c r="Q775" s="4">
        <v>75000</v>
      </c>
    </row>
    <row r="776" spans="17:17" x14ac:dyDescent="0.3">
      <c r="Q776" s="3">
        <v>75000</v>
      </c>
    </row>
    <row r="777" spans="17:17" x14ac:dyDescent="0.3">
      <c r="Q777" s="4">
        <v>75000</v>
      </c>
    </row>
    <row r="778" spans="17:17" x14ac:dyDescent="0.3">
      <c r="Q778" s="3">
        <v>75000</v>
      </c>
    </row>
    <row r="779" spans="17:17" x14ac:dyDescent="0.3">
      <c r="Q779" s="4">
        <v>75000</v>
      </c>
    </row>
    <row r="780" spans="17:17" x14ac:dyDescent="0.3">
      <c r="Q780" s="3">
        <v>75000</v>
      </c>
    </row>
    <row r="781" spans="17:17" x14ac:dyDescent="0.3">
      <c r="Q781" s="4">
        <v>75000</v>
      </c>
    </row>
    <row r="782" spans="17:17" x14ac:dyDescent="0.3">
      <c r="Q782" s="3">
        <v>75000</v>
      </c>
    </row>
    <row r="783" spans="17:17" x14ac:dyDescent="0.3">
      <c r="Q783" s="4">
        <v>75000</v>
      </c>
    </row>
    <row r="784" spans="17:17" x14ac:dyDescent="0.3">
      <c r="Q784" s="3">
        <v>75000</v>
      </c>
    </row>
    <row r="785" spans="17:17" x14ac:dyDescent="0.3">
      <c r="Q785" s="4">
        <v>75000</v>
      </c>
    </row>
    <row r="786" spans="17:17" x14ac:dyDescent="0.3">
      <c r="Q786" s="3">
        <v>75000</v>
      </c>
    </row>
    <row r="787" spans="17:17" x14ac:dyDescent="0.3">
      <c r="Q787" s="4">
        <v>75000</v>
      </c>
    </row>
    <row r="788" spans="17:17" x14ac:dyDescent="0.3">
      <c r="Q788" s="3">
        <v>75000</v>
      </c>
    </row>
    <row r="789" spans="17:17" x14ac:dyDescent="0.3">
      <c r="Q789" s="4">
        <v>75000</v>
      </c>
    </row>
    <row r="790" spans="17:17" x14ac:dyDescent="0.3">
      <c r="Q790" s="3">
        <v>75000</v>
      </c>
    </row>
    <row r="791" spans="17:17" x14ac:dyDescent="0.3">
      <c r="Q791" s="4">
        <v>75000</v>
      </c>
    </row>
    <row r="792" spans="17:17" x14ac:dyDescent="0.3">
      <c r="Q792" s="3">
        <v>75000</v>
      </c>
    </row>
    <row r="793" spans="17:17" x14ac:dyDescent="0.3">
      <c r="Q793" s="4">
        <v>75000</v>
      </c>
    </row>
    <row r="794" spans="17:17" x14ac:dyDescent="0.3">
      <c r="Q794" s="3">
        <v>75000</v>
      </c>
    </row>
    <row r="795" spans="17:17" x14ac:dyDescent="0.3">
      <c r="Q795" s="4">
        <v>75000</v>
      </c>
    </row>
    <row r="796" spans="17:17" x14ac:dyDescent="0.3">
      <c r="Q796" s="3">
        <v>75000</v>
      </c>
    </row>
    <row r="797" spans="17:17" x14ac:dyDescent="0.3">
      <c r="Q797" s="4">
        <v>75000</v>
      </c>
    </row>
    <row r="798" spans="17:17" x14ac:dyDescent="0.3">
      <c r="Q798" s="3">
        <v>75000</v>
      </c>
    </row>
    <row r="799" spans="17:17" x14ac:dyDescent="0.3">
      <c r="Q799" s="4">
        <v>75000</v>
      </c>
    </row>
    <row r="800" spans="17:17" x14ac:dyDescent="0.3">
      <c r="Q800" s="3">
        <v>75000</v>
      </c>
    </row>
    <row r="801" spans="17:17" x14ac:dyDescent="0.3">
      <c r="Q801" s="4">
        <v>75000</v>
      </c>
    </row>
    <row r="802" spans="17:17" x14ac:dyDescent="0.3">
      <c r="Q802" s="3">
        <v>75000</v>
      </c>
    </row>
    <row r="803" spans="17:17" x14ac:dyDescent="0.3">
      <c r="Q803" s="4">
        <v>75000</v>
      </c>
    </row>
    <row r="804" spans="17:17" x14ac:dyDescent="0.3">
      <c r="Q804" s="3">
        <v>75000</v>
      </c>
    </row>
    <row r="805" spans="17:17" x14ac:dyDescent="0.3">
      <c r="Q805" s="4">
        <v>75000</v>
      </c>
    </row>
    <row r="806" spans="17:17" x14ac:dyDescent="0.3">
      <c r="Q806" s="3">
        <v>75000</v>
      </c>
    </row>
    <row r="807" spans="17:17" x14ac:dyDescent="0.3">
      <c r="Q807" s="4">
        <v>75000</v>
      </c>
    </row>
    <row r="808" spans="17:17" x14ac:dyDescent="0.3">
      <c r="Q808" s="3">
        <v>75000</v>
      </c>
    </row>
    <row r="809" spans="17:17" x14ac:dyDescent="0.3">
      <c r="Q809" s="4">
        <v>75000</v>
      </c>
    </row>
    <row r="810" spans="17:17" x14ac:dyDescent="0.3">
      <c r="Q810" s="3">
        <v>75000</v>
      </c>
    </row>
    <row r="811" spans="17:17" x14ac:dyDescent="0.3">
      <c r="Q811" s="4">
        <v>75000</v>
      </c>
    </row>
    <row r="812" spans="17:17" x14ac:dyDescent="0.3">
      <c r="Q812" s="3">
        <v>75000</v>
      </c>
    </row>
    <row r="813" spans="17:17" x14ac:dyDescent="0.3">
      <c r="Q813" s="4">
        <v>75000</v>
      </c>
    </row>
    <row r="814" spans="17:17" x14ac:dyDescent="0.3">
      <c r="Q814" s="3">
        <v>75000</v>
      </c>
    </row>
    <row r="815" spans="17:17" x14ac:dyDescent="0.3">
      <c r="Q815" s="4">
        <v>75000</v>
      </c>
    </row>
    <row r="816" spans="17:17" x14ac:dyDescent="0.3">
      <c r="Q816" s="3">
        <v>75000</v>
      </c>
    </row>
    <row r="817" spans="17:17" x14ac:dyDescent="0.3">
      <c r="Q817" s="4">
        <v>75000</v>
      </c>
    </row>
    <row r="818" spans="17:17" x14ac:dyDescent="0.3">
      <c r="Q818" s="3">
        <v>75000</v>
      </c>
    </row>
    <row r="819" spans="17:17" x14ac:dyDescent="0.3">
      <c r="Q819" s="4">
        <v>75000</v>
      </c>
    </row>
    <row r="820" spans="17:17" x14ac:dyDescent="0.3">
      <c r="Q820" s="3">
        <v>75000</v>
      </c>
    </row>
    <row r="821" spans="17:17" x14ac:dyDescent="0.3">
      <c r="Q821" s="4">
        <v>75000</v>
      </c>
    </row>
    <row r="822" spans="17:17" x14ac:dyDescent="0.3">
      <c r="Q822" s="3">
        <v>75000</v>
      </c>
    </row>
    <row r="823" spans="17:17" x14ac:dyDescent="0.3">
      <c r="Q823" s="4">
        <v>75000</v>
      </c>
    </row>
    <row r="824" spans="17:17" x14ac:dyDescent="0.3">
      <c r="Q824" s="3">
        <v>75000</v>
      </c>
    </row>
    <row r="825" spans="17:17" x14ac:dyDescent="0.3">
      <c r="Q825" s="4">
        <v>75000</v>
      </c>
    </row>
    <row r="826" spans="17:17" x14ac:dyDescent="0.3">
      <c r="Q826" s="3">
        <v>75000</v>
      </c>
    </row>
    <row r="827" spans="17:17" x14ac:dyDescent="0.3">
      <c r="Q827" s="4">
        <v>75000</v>
      </c>
    </row>
    <row r="828" spans="17:17" x14ac:dyDescent="0.3">
      <c r="Q828" s="3">
        <v>75000</v>
      </c>
    </row>
    <row r="829" spans="17:17" x14ac:dyDescent="0.3">
      <c r="Q829" s="4">
        <v>75000</v>
      </c>
    </row>
    <row r="830" spans="17:17" x14ac:dyDescent="0.3">
      <c r="Q830" s="3">
        <v>75000</v>
      </c>
    </row>
    <row r="831" spans="17:17" x14ac:dyDescent="0.3">
      <c r="Q831" s="4">
        <v>75000</v>
      </c>
    </row>
    <row r="832" spans="17:17" x14ac:dyDescent="0.3">
      <c r="Q832" s="3">
        <v>75000</v>
      </c>
    </row>
    <row r="833" spans="17:17" x14ac:dyDescent="0.3">
      <c r="Q833" s="4">
        <v>75000</v>
      </c>
    </row>
    <row r="834" spans="17:17" x14ac:dyDescent="0.3">
      <c r="Q834" s="3">
        <v>75000</v>
      </c>
    </row>
    <row r="835" spans="17:17" x14ac:dyDescent="0.3">
      <c r="Q835" s="4">
        <v>75000</v>
      </c>
    </row>
    <row r="836" spans="17:17" x14ac:dyDescent="0.3">
      <c r="Q836" s="3">
        <v>75000</v>
      </c>
    </row>
    <row r="837" spans="17:17" x14ac:dyDescent="0.3">
      <c r="Q837" s="4">
        <v>75000</v>
      </c>
    </row>
    <row r="838" spans="17:17" x14ac:dyDescent="0.3">
      <c r="Q838" s="3">
        <v>75000</v>
      </c>
    </row>
    <row r="839" spans="17:17" x14ac:dyDescent="0.3">
      <c r="Q839" s="4">
        <v>75000</v>
      </c>
    </row>
    <row r="840" spans="17:17" x14ac:dyDescent="0.3">
      <c r="Q840" s="3">
        <v>75000</v>
      </c>
    </row>
    <row r="841" spans="17:17" x14ac:dyDescent="0.3">
      <c r="Q841" s="4">
        <v>75000</v>
      </c>
    </row>
    <row r="842" spans="17:17" x14ac:dyDescent="0.3">
      <c r="Q842" s="3">
        <v>75000</v>
      </c>
    </row>
    <row r="843" spans="17:17" x14ac:dyDescent="0.3">
      <c r="Q843" s="4">
        <v>75000</v>
      </c>
    </row>
    <row r="844" spans="17:17" x14ac:dyDescent="0.3">
      <c r="Q844" s="3">
        <v>75000</v>
      </c>
    </row>
    <row r="845" spans="17:17" x14ac:dyDescent="0.3">
      <c r="Q845" s="4">
        <v>75000</v>
      </c>
    </row>
    <row r="846" spans="17:17" x14ac:dyDescent="0.3">
      <c r="Q846" s="3">
        <v>75000</v>
      </c>
    </row>
    <row r="847" spans="17:17" x14ac:dyDescent="0.3">
      <c r="Q847" s="4">
        <v>75000</v>
      </c>
    </row>
    <row r="848" spans="17:17" x14ac:dyDescent="0.3">
      <c r="Q848" s="3">
        <v>76000</v>
      </c>
    </row>
    <row r="849" spans="17:17" x14ac:dyDescent="0.3">
      <c r="Q849" s="4">
        <v>76000</v>
      </c>
    </row>
    <row r="850" spans="17:17" x14ac:dyDescent="0.3">
      <c r="Q850" s="3">
        <v>76000</v>
      </c>
    </row>
    <row r="851" spans="17:17" x14ac:dyDescent="0.3">
      <c r="Q851" s="4">
        <v>76000</v>
      </c>
    </row>
    <row r="852" spans="17:17" x14ac:dyDescent="0.3">
      <c r="Q852" s="3">
        <v>76000</v>
      </c>
    </row>
    <row r="853" spans="17:17" x14ac:dyDescent="0.3">
      <c r="Q853" s="4">
        <v>76000</v>
      </c>
    </row>
    <row r="854" spans="17:17" x14ac:dyDescent="0.3">
      <c r="Q854" s="3">
        <v>76000</v>
      </c>
    </row>
    <row r="855" spans="17:17" x14ac:dyDescent="0.3">
      <c r="Q855" s="4">
        <v>76000</v>
      </c>
    </row>
    <row r="856" spans="17:17" x14ac:dyDescent="0.3">
      <c r="Q856" s="3">
        <v>76000</v>
      </c>
    </row>
    <row r="857" spans="17:17" x14ac:dyDescent="0.3">
      <c r="Q857" s="4">
        <v>76500</v>
      </c>
    </row>
    <row r="858" spans="17:17" x14ac:dyDescent="0.3">
      <c r="Q858" s="3">
        <v>76900</v>
      </c>
    </row>
    <row r="859" spans="17:17" x14ac:dyDescent="0.3">
      <c r="Q859" s="4">
        <v>77000</v>
      </c>
    </row>
    <row r="860" spans="17:17" x14ac:dyDescent="0.3">
      <c r="Q860" s="3">
        <v>77000</v>
      </c>
    </row>
    <row r="861" spans="17:17" x14ac:dyDescent="0.3">
      <c r="Q861" s="4">
        <v>77000</v>
      </c>
    </row>
    <row r="862" spans="17:17" x14ac:dyDescent="0.3">
      <c r="Q862" s="3">
        <v>77000</v>
      </c>
    </row>
    <row r="863" spans="17:17" x14ac:dyDescent="0.3">
      <c r="Q863" s="4">
        <v>77000</v>
      </c>
    </row>
    <row r="864" spans="17:17" x14ac:dyDescent="0.3">
      <c r="Q864" s="3">
        <v>77000</v>
      </c>
    </row>
    <row r="865" spans="17:17" x14ac:dyDescent="0.3">
      <c r="Q865" s="4">
        <v>77000</v>
      </c>
    </row>
    <row r="866" spans="17:17" x14ac:dyDescent="0.3">
      <c r="Q866" s="3">
        <v>77000</v>
      </c>
    </row>
    <row r="867" spans="17:17" x14ac:dyDescent="0.3">
      <c r="Q867" s="4">
        <v>77000</v>
      </c>
    </row>
    <row r="868" spans="17:17" x14ac:dyDescent="0.3">
      <c r="Q868" s="3">
        <v>77000</v>
      </c>
    </row>
    <row r="869" spans="17:17" x14ac:dyDescent="0.3">
      <c r="Q869" s="4">
        <v>77000</v>
      </c>
    </row>
    <row r="870" spans="17:17" x14ac:dyDescent="0.3">
      <c r="Q870" s="3">
        <v>77000</v>
      </c>
    </row>
    <row r="871" spans="17:17" x14ac:dyDescent="0.3">
      <c r="Q871" s="4">
        <v>77000</v>
      </c>
    </row>
    <row r="872" spans="17:17" x14ac:dyDescent="0.3">
      <c r="Q872" s="3">
        <v>77250</v>
      </c>
    </row>
    <row r="873" spans="17:17" x14ac:dyDescent="0.3">
      <c r="Q873" s="4">
        <v>77500</v>
      </c>
    </row>
    <row r="874" spans="17:17" x14ac:dyDescent="0.3">
      <c r="Q874" s="3">
        <v>77500</v>
      </c>
    </row>
    <row r="875" spans="17:17" x14ac:dyDescent="0.3">
      <c r="Q875" s="4">
        <v>77600</v>
      </c>
    </row>
    <row r="876" spans="17:17" x14ac:dyDescent="0.3">
      <c r="Q876" s="3">
        <v>78000</v>
      </c>
    </row>
    <row r="877" spans="17:17" x14ac:dyDescent="0.3">
      <c r="Q877" s="4">
        <v>78000</v>
      </c>
    </row>
    <row r="878" spans="17:17" x14ac:dyDescent="0.3">
      <c r="Q878" s="3">
        <v>78000</v>
      </c>
    </row>
    <row r="879" spans="17:17" x14ac:dyDescent="0.3">
      <c r="Q879" s="4">
        <v>78000</v>
      </c>
    </row>
    <row r="880" spans="17:17" x14ac:dyDescent="0.3">
      <c r="Q880" s="3">
        <v>78000</v>
      </c>
    </row>
    <row r="881" spans="17:17" x14ac:dyDescent="0.3">
      <c r="Q881" s="4">
        <v>78000</v>
      </c>
    </row>
    <row r="882" spans="17:17" x14ac:dyDescent="0.3">
      <c r="Q882" s="3">
        <v>78000</v>
      </c>
    </row>
    <row r="883" spans="17:17" x14ac:dyDescent="0.3">
      <c r="Q883" s="4">
        <v>78000</v>
      </c>
    </row>
    <row r="884" spans="17:17" x14ac:dyDescent="0.3">
      <c r="Q884" s="3">
        <v>78000</v>
      </c>
    </row>
    <row r="885" spans="17:17" x14ac:dyDescent="0.3">
      <c r="Q885" s="4">
        <v>78000</v>
      </c>
    </row>
    <row r="886" spans="17:17" x14ac:dyDescent="0.3">
      <c r="Q886" s="3">
        <v>78000</v>
      </c>
    </row>
    <row r="887" spans="17:17" x14ac:dyDescent="0.3">
      <c r="Q887" s="4">
        <v>78000</v>
      </c>
    </row>
    <row r="888" spans="17:17" x14ac:dyDescent="0.3">
      <c r="Q888" s="3">
        <v>78000</v>
      </c>
    </row>
    <row r="889" spans="17:17" x14ac:dyDescent="0.3">
      <c r="Q889" s="4">
        <v>78000</v>
      </c>
    </row>
    <row r="890" spans="17:17" x14ac:dyDescent="0.3">
      <c r="Q890" s="3">
        <v>78000</v>
      </c>
    </row>
    <row r="891" spans="17:17" x14ac:dyDescent="0.3">
      <c r="Q891" s="4">
        <v>78000</v>
      </c>
    </row>
    <row r="892" spans="17:17" x14ac:dyDescent="0.3">
      <c r="Q892" s="3">
        <v>78000</v>
      </c>
    </row>
    <row r="893" spans="17:17" x14ac:dyDescent="0.3">
      <c r="Q893" s="4">
        <v>78000</v>
      </c>
    </row>
    <row r="894" spans="17:17" x14ac:dyDescent="0.3">
      <c r="Q894" s="3">
        <v>78500</v>
      </c>
    </row>
    <row r="895" spans="17:17" x14ac:dyDescent="0.3">
      <c r="Q895" s="4">
        <v>78600</v>
      </c>
    </row>
    <row r="896" spans="17:17" x14ac:dyDescent="0.3">
      <c r="Q896" s="3">
        <v>79000</v>
      </c>
    </row>
    <row r="897" spans="17:17" x14ac:dyDescent="0.3">
      <c r="Q897" s="4">
        <v>79000</v>
      </c>
    </row>
    <row r="898" spans="17:17" x14ac:dyDescent="0.3">
      <c r="Q898" s="3">
        <v>79000</v>
      </c>
    </row>
    <row r="899" spans="17:17" x14ac:dyDescent="0.3">
      <c r="Q899" s="4">
        <v>79000</v>
      </c>
    </row>
    <row r="900" spans="17:17" x14ac:dyDescent="0.3">
      <c r="Q900" s="3">
        <v>79000</v>
      </c>
    </row>
    <row r="901" spans="17:17" x14ac:dyDescent="0.3">
      <c r="Q901" s="4">
        <v>79000</v>
      </c>
    </row>
    <row r="902" spans="17:17" x14ac:dyDescent="0.3">
      <c r="Q902" s="3">
        <v>79300</v>
      </c>
    </row>
    <row r="903" spans="17:17" x14ac:dyDescent="0.3">
      <c r="Q903" s="4">
        <v>80000</v>
      </c>
    </row>
    <row r="904" spans="17:17" x14ac:dyDescent="0.3">
      <c r="Q904" s="3">
        <v>80000</v>
      </c>
    </row>
    <row r="905" spans="17:17" x14ac:dyDescent="0.3">
      <c r="Q905" s="4">
        <v>80000</v>
      </c>
    </row>
    <row r="906" spans="17:17" x14ac:dyDescent="0.3">
      <c r="Q906" s="3">
        <v>80000</v>
      </c>
    </row>
    <row r="907" spans="17:17" x14ac:dyDescent="0.3">
      <c r="Q907" s="4">
        <v>80000</v>
      </c>
    </row>
    <row r="908" spans="17:17" x14ac:dyDescent="0.3">
      <c r="Q908" s="3">
        <v>80000</v>
      </c>
    </row>
    <row r="909" spans="17:17" x14ac:dyDescent="0.3">
      <c r="Q909" s="4">
        <v>80000</v>
      </c>
    </row>
    <row r="910" spans="17:17" x14ac:dyDescent="0.3">
      <c r="Q910" s="3">
        <v>80000</v>
      </c>
    </row>
    <row r="911" spans="17:17" x14ac:dyDescent="0.3">
      <c r="Q911" s="4">
        <v>80000</v>
      </c>
    </row>
    <row r="912" spans="17:17" x14ac:dyDescent="0.3">
      <c r="Q912" s="3">
        <v>80000</v>
      </c>
    </row>
    <row r="913" spans="17:17" x14ac:dyDescent="0.3">
      <c r="Q913" s="4">
        <v>80000</v>
      </c>
    </row>
    <row r="914" spans="17:17" x14ac:dyDescent="0.3">
      <c r="Q914" s="3">
        <v>80000</v>
      </c>
    </row>
    <row r="915" spans="17:17" x14ac:dyDescent="0.3">
      <c r="Q915" s="4">
        <v>80000</v>
      </c>
    </row>
    <row r="916" spans="17:17" x14ac:dyDescent="0.3">
      <c r="Q916" s="3">
        <v>80000</v>
      </c>
    </row>
    <row r="917" spans="17:17" x14ac:dyDescent="0.3">
      <c r="Q917" s="4">
        <v>80000</v>
      </c>
    </row>
    <row r="918" spans="17:17" x14ac:dyDescent="0.3">
      <c r="Q918" s="3">
        <v>80000</v>
      </c>
    </row>
    <row r="919" spans="17:17" x14ac:dyDescent="0.3">
      <c r="Q919" s="4">
        <v>80000</v>
      </c>
    </row>
    <row r="920" spans="17:17" x14ac:dyDescent="0.3">
      <c r="Q920" s="3">
        <v>80000</v>
      </c>
    </row>
    <row r="921" spans="17:17" x14ac:dyDescent="0.3">
      <c r="Q921" s="4">
        <v>80000</v>
      </c>
    </row>
    <row r="922" spans="17:17" x14ac:dyDescent="0.3">
      <c r="Q922" s="3">
        <v>80000</v>
      </c>
    </row>
    <row r="923" spans="17:17" x14ac:dyDescent="0.3">
      <c r="Q923" s="4">
        <v>80000</v>
      </c>
    </row>
    <row r="924" spans="17:17" x14ac:dyDescent="0.3">
      <c r="Q924" s="3">
        <v>80000</v>
      </c>
    </row>
    <row r="925" spans="17:17" x14ac:dyDescent="0.3">
      <c r="Q925" s="4">
        <v>80000</v>
      </c>
    </row>
    <row r="926" spans="17:17" x14ac:dyDescent="0.3">
      <c r="Q926" s="3">
        <v>80000</v>
      </c>
    </row>
    <row r="927" spans="17:17" x14ac:dyDescent="0.3">
      <c r="Q927" s="4">
        <v>80000</v>
      </c>
    </row>
    <row r="928" spans="17:17" x14ac:dyDescent="0.3">
      <c r="Q928" s="3">
        <v>80000</v>
      </c>
    </row>
    <row r="929" spans="17:17" x14ac:dyDescent="0.3">
      <c r="Q929" s="4">
        <v>80000</v>
      </c>
    </row>
    <row r="930" spans="17:17" x14ac:dyDescent="0.3">
      <c r="Q930" s="3">
        <v>80000</v>
      </c>
    </row>
    <row r="931" spans="17:17" x14ac:dyDescent="0.3">
      <c r="Q931" s="4">
        <v>80000</v>
      </c>
    </row>
    <row r="932" spans="17:17" x14ac:dyDescent="0.3">
      <c r="Q932" s="3">
        <v>80000</v>
      </c>
    </row>
    <row r="933" spans="17:17" x14ac:dyDescent="0.3">
      <c r="Q933" s="4">
        <v>80000</v>
      </c>
    </row>
    <row r="934" spans="17:17" x14ac:dyDescent="0.3">
      <c r="Q934" s="3">
        <v>80000</v>
      </c>
    </row>
    <row r="935" spans="17:17" x14ac:dyDescent="0.3">
      <c r="Q935" s="4">
        <v>80000</v>
      </c>
    </row>
    <row r="936" spans="17:17" x14ac:dyDescent="0.3">
      <c r="Q936" s="3">
        <v>80000</v>
      </c>
    </row>
    <row r="937" spans="17:17" x14ac:dyDescent="0.3">
      <c r="Q937" s="4">
        <v>80000</v>
      </c>
    </row>
    <row r="938" spans="17:17" x14ac:dyDescent="0.3">
      <c r="Q938" s="3">
        <v>80000</v>
      </c>
    </row>
    <row r="939" spans="17:17" x14ac:dyDescent="0.3">
      <c r="Q939" s="4">
        <v>80000</v>
      </c>
    </row>
    <row r="940" spans="17:17" x14ac:dyDescent="0.3">
      <c r="Q940" s="3">
        <v>80000</v>
      </c>
    </row>
    <row r="941" spans="17:17" x14ac:dyDescent="0.3">
      <c r="Q941" s="4">
        <v>80000</v>
      </c>
    </row>
    <row r="942" spans="17:17" x14ac:dyDescent="0.3">
      <c r="Q942" s="3">
        <v>80000</v>
      </c>
    </row>
    <row r="943" spans="17:17" x14ac:dyDescent="0.3">
      <c r="Q943" s="4">
        <v>80000</v>
      </c>
    </row>
    <row r="944" spans="17:17" x14ac:dyDescent="0.3">
      <c r="Q944" s="3">
        <v>80000</v>
      </c>
    </row>
    <row r="945" spans="17:17" x14ac:dyDescent="0.3">
      <c r="Q945" s="4">
        <v>80000</v>
      </c>
    </row>
    <row r="946" spans="17:17" x14ac:dyDescent="0.3">
      <c r="Q946" s="3">
        <v>80000</v>
      </c>
    </row>
    <row r="947" spans="17:17" x14ac:dyDescent="0.3">
      <c r="Q947" s="4">
        <v>80000</v>
      </c>
    </row>
    <row r="948" spans="17:17" x14ac:dyDescent="0.3">
      <c r="Q948" s="3">
        <v>80000</v>
      </c>
    </row>
    <row r="949" spans="17:17" x14ac:dyDescent="0.3">
      <c r="Q949" s="4">
        <v>80000</v>
      </c>
    </row>
    <row r="950" spans="17:17" x14ac:dyDescent="0.3">
      <c r="Q950" s="3">
        <v>80000</v>
      </c>
    </row>
    <row r="951" spans="17:17" x14ac:dyDescent="0.3">
      <c r="Q951" s="4">
        <v>80000</v>
      </c>
    </row>
    <row r="952" spans="17:17" x14ac:dyDescent="0.3">
      <c r="Q952" s="3">
        <v>80000</v>
      </c>
    </row>
    <row r="953" spans="17:17" x14ac:dyDescent="0.3">
      <c r="Q953" s="4">
        <v>80000</v>
      </c>
    </row>
    <row r="954" spans="17:17" x14ac:dyDescent="0.3">
      <c r="Q954" s="3">
        <v>80000</v>
      </c>
    </row>
    <row r="955" spans="17:17" x14ac:dyDescent="0.3">
      <c r="Q955" s="4">
        <v>80000</v>
      </c>
    </row>
    <row r="956" spans="17:17" x14ac:dyDescent="0.3">
      <c r="Q956" s="3">
        <v>80000</v>
      </c>
    </row>
    <row r="957" spans="17:17" x14ac:dyDescent="0.3">
      <c r="Q957" s="4">
        <v>80000</v>
      </c>
    </row>
    <row r="958" spans="17:17" x14ac:dyDescent="0.3">
      <c r="Q958" s="3">
        <v>80000</v>
      </c>
    </row>
    <row r="959" spans="17:17" x14ac:dyDescent="0.3">
      <c r="Q959" s="4">
        <v>80000</v>
      </c>
    </row>
    <row r="960" spans="17:17" x14ac:dyDescent="0.3">
      <c r="Q960" s="3">
        <v>80000</v>
      </c>
    </row>
    <row r="961" spans="17:17" x14ac:dyDescent="0.3">
      <c r="Q961" s="4">
        <v>80000</v>
      </c>
    </row>
    <row r="962" spans="17:17" x14ac:dyDescent="0.3">
      <c r="Q962" s="3">
        <v>80000</v>
      </c>
    </row>
    <row r="963" spans="17:17" x14ac:dyDescent="0.3">
      <c r="Q963" s="4">
        <v>80000</v>
      </c>
    </row>
    <row r="964" spans="17:17" x14ac:dyDescent="0.3">
      <c r="Q964" s="3">
        <v>80000</v>
      </c>
    </row>
    <row r="965" spans="17:17" x14ac:dyDescent="0.3">
      <c r="Q965" s="4">
        <v>80000</v>
      </c>
    </row>
    <row r="966" spans="17:17" x14ac:dyDescent="0.3">
      <c r="Q966" s="3">
        <v>80000</v>
      </c>
    </row>
    <row r="967" spans="17:17" x14ac:dyDescent="0.3">
      <c r="Q967" s="4">
        <v>80000</v>
      </c>
    </row>
    <row r="968" spans="17:17" x14ac:dyDescent="0.3">
      <c r="Q968" s="3">
        <v>80000</v>
      </c>
    </row>
    <row r="969" spans="17:17" x14ac:dyDescent="0.3">
      <c r="Q969" s="4">
        <v>81000</v>
      </c>
    </row>
    <row r="970" spans="17:17" x14ac:dyDescent="0.3">
      <c r="Q970" s="3">
        <v>81000</v>
      </c>
    </row>
    <row r="971" spans="17:17" x14ac:dyDescent="0.3">
      <c r="Q971" s="4">
        <v>81000</v>
      </c>
    </row>
    <row r="972" spans="17:17" x14ac:dyDescent="0.3">
      <c r="Q972" s="3">
        <v>81000</v>
      </c>
    </row>
    <row r="973" spans="17:17" x14ac:dyDescent="0.3">
      <c r="Q973" s="4">
        <v>81000</v>
      </c>
    </row>
    <row r="974" spans="17:17" x14ac:dyDescent="0.3">
      <c r="Q974" s="3">
        <v>81000</v>
      </c>
    </row>
    <row r="975" spans="17:17" x14ac:dyDescent="0.3">
      <c r="Q975" s="4">
        <v>81200</v>
      </c>
    </row>
    <row r="976" spans="17:17" x14ac:dyDescent="0.3">
      <c r="Q976" s="3">
        <v>81500</v>
      </c>
    </row>
    <row r="977" spans="17:17" x14ac:dyDescent="0.3">
      <c r="Q977" s="4">
        <v>81900</v>
      </c>
    </row>
    <row r="978" spans="17:17" x14ac:dyDescent="0.3">
      <c r="Q978" s="3">
        <v>82000</v>
      </c>
    </row>
    <row r="979" spans="17:17" x14ac:dyDescent="0.3">
      <c r="Q979" s="4">
        <v>82000</v>
      </c>
    </row>
    <row r="980" spans="17:17" x14ac:dyDescent="0.3">
      <c r="Q980" s="3">
        <v>82000</v>
      </c>
    </row>
    <row r="981" spans="17:17" x14ac:dyDescent="0.3">
      <c r="Q981" s="4">
        <v>82000</v>
      </c>
    </row>
    <row r="982" spans="17:17" x14ac:dyDescent="0.3">
      <c r="Q982" s="3">
        <v>82000</v>
      </c>
    </row>
    <row r="983" spans="17:17" x14ac:dyDescent="0.3">
      <c r="Q983" s="4">
        <v>82000</v>
      </c>
    </row>
    <row r="984" spans="17:17" x14ac:dyDescent="0.3">
      <c r="Q984" s="3">
        <v>82000</v>
      </c>
    </row>
    <row r="985" spans="17:17" x14ac:dyDescent="0.3">
      <c r="Q985" s="4">
        <v>82000</v>
      </c>
    </row>
    <row r="986" spans="17:17" x14ac:dyDescent="0.3">
      <c r="Q986" s="3">
        <v>82000</v>
      </c>
    </row>
    <row r="987" spans="17:17" x14ac:dyDescent="0.3">
      <c r="Q987" s="4">
        <v>82000</v>
      </c>
    </row>
    <row r="988" spans="17:17" x14ac:dyDescent="0.3">
      <c r="Q988" s="3">
        <v>82000</v>
      </c>
    </row>
    <row r="989" spans="17:17" x14ac:dyDescent="0.3">
      <c r="Q989" s="4">
        <v>82500</v>
      </c>
    </row>
    <row r="990" spans="17:17" x14ac:dyDescent="0.3">
      <c r="Q990" s="3">
        <v>83000</v>
      </c>
    </row>
    <row r="991" spans="17:17" x14ac:dyDescent="0.3">
      <c r="Q991" s="4">
        <v>83000</v>
      </c>
    </row>
    <row r="992" spans="17:17" x14ac:dyDescent="0.3">
      <c r="Q992" s="3">
        <v>83000</v>
      </c>
    </row>
    <row r="993" spans="17:17" x14ac:dyDescent="0.3">
      <c r="Q993" s="4">
        <v>83000</v>
      </c>
    </row>
    <row r="994" spans="17:17" x14ac:dyDescent="0.3">
      <c r="Q994" s="3">
        <v>83000</v>
      </c>
    </row>
    <row r="995" spans="17:17" x14ac:dyDescent="0.3">
      <c r="Q995" s="4">
        <v>83000</v>
      </c>
    </row>
    <row r="996" spans="17:17" x14ac:dyDescent="0.3">
      <c r="Q996" s="3">
        <v>83000</v>
      </c>
    </row>
    <row r="997" spans="17:17" x14ac:dyDescent="0.3">
      <c r="Q997" s="4">
        <v>83000</v>
      </c>
    </row>
    <row r="998" spans="17:17" x14ac:dyDescent="0.3">
      <c r="Q998" s="3">
        <v>83000</v>
      </c>
    </row>
    <row r="999" spans="17:17" x14ac:dyDescent="0.3">
      <c r="Q999" s="4">
        <v>83000</v>
      </c>
    </row>
    <row r="1000" spans="17:17" x14ac:dyDescent="0.3">
      <c r="Q1000" s="3">
        <v>84000</v>
      </c>
    </row>
    <row r="1001" spans="17:17" x14ac:dyDescent="0.3">
      <c r="Q1001" s="4">
        <v>84000</v>
      </c>
    </row>
    <row r="1002" spans="17:17" x14ac:dyDescent="0.3">
      <c r="Q1002" s="3">
        <v>84000</v>
      </c>
    </row>
    <row r="1003" spans="17:17" x14ac:dyDescent="0.3">
      <c r="Q1003" s="4">
        <v>84000</v>
      </c>
    </row>
    <row r="1004" spans="17:17" x14ac:dyDescent="0.3">
      <c r="Q1004" s="3">
        <v>84700</v>
      </c>
    </row>
    <row r="1005" spans="17:17" x14ac:dyDescent="0.3">
      <c r="Q1005" s="4">
        <v>85000</v>
      </c>
    </row>
    <row r="1006" spans="17:17" x14ac:dyDescent="0.3">
      <c r="Q1006" s="3">
        <v>85000</v>
      </c>
    </row>
    <row r="1007" spans="17:17" x14ac:dyDescent="0.3">
      <c r="Q1007" s="4">
        <v>85000</v>
      </c>
    </row>
    <row r="1008" spans="17:17" x14ac:dyDescent="0.3">
      <c r="Q1008" s="3">
        <v>85000</v>
      </c>
    </row>
    <row r="1009" spans="17:17" x14ac:dyDescent="0.3">
      <c r="Q1009" s="4">
        <v>85000</v>
      </c>
    </row>
    <row r="1010" spans="17:17" x14ac:dyDescent="0.3">
      <c r="Q1010" s="3">
        <v>85000</v>
      </c>
    </row>
    <row r="1011" spans="17:17" x14ac:dyDescent="0.3">
      <c r="Q1011" s="4">
        <v>85000</v>
      </c>
    </row>
    <row r="1012" spans="17:17" x14ac:dyDescent="0.3">
      <c r="Q1012" s="3">
        <v>85000</v>
      </c>
    </row>
    <row r="1013" spans="17:17" x14ac:dyDescent="0.3">
      <c r="Q1013" s="4">
        <v>85000</v>
      </c>
    </row>
    <row r="1014" spans="17:17" x14ac:dyDescent="0.3">
      <c r="Q1014" s="3">
        <v>85000</v>
      </c>
    </row>
    <row r="1015" spans="17:17" x14ac:dyDescent="0.3">
      <c r="Q1015" s="4">
        <v>85000</v>
      </c>
    </row>
    <row r="1016" spans="17:17" x14ac:dyDescent="0.3">
      <c r="Q1016" s="3">
        <v>85000</v>
      </c>
    </row>
    <row r="1017" spans="17:17" x14ac:dyDescent="0.3">
      <c r="Q1017" s="4">
        <v>85000</v>
      </c>
    </row>
    <row r="1018" spans="17:17" x14ac:dyDescent="0.3">
      <c r="Q1018" s="3">
        <v>85000</v>
      </c>
    </row>
    <row r="1019" spans="17:17" x14ac:dyDescent="0.3">
      <c r="Q1019" s="4">
        <v>85000</v>
      </c>
    </row>
    <row r="1020" spans="17:17" x14ac:dyDescent="0.3">
      <c r="Q1020" s="3">
        <v>85000</v>
      </c>
    </row>
    <row r="1021" spans="17:17" x14ac:dyDescent="0.3">
      <c r="Q1021" s="4">
        <v>85000</v>
      </c>
    </row>
    <row r="1022" spans="17:17" x14ac:dyDescent="0.3">
      <c r="Q1022" s="3">
        <v>85000</v>
      </c>
    </row>
    <row r="1023" spans="17:17" x14ac:dyDescent="0.3">
      <c r="Q1023" s="4">
        <v>85000</v>
      </c>
    </row>
    <row r="1024" spans="17:17" x14ac:dyDescent="0.3">
      <c r="Q1024" s="3">
        <v>85000</v>
      </c>
    </row>
    <row r="1025" spans="17:17" x14ac:dyDescent="0.3">
      <c r="Q1025" s="4">
        <v>85000</v>
      </c>
    </row>
    <row r="1026" spans="17:17" x14ac:dyDescent="0.3">
      <c r="Q1026" s="3">
        <v>85000</v>
      </c>
    </row>
    <row r="1027" spans="17:17" x14ac:dyDescent="0.3">
      <c r="Q1027" s="4">
        <v>85000</v>
      </c>
    </row>
    <row r="1028" spans="17:17" x14ac:dyDescent="0.3">
      <c r="Q1028" s="3">
        <v>85000</v>
      </c>
    </row>
    <row r="1029" spans="17:17" x14ac:dyDescent="0.3">
      <c r="Q1029" s="4">
        <v>85000</v>
      </c>
    </row>
    <row r="1030" spans="17:17" x14ac:dyDescent="0.3">
      <c r="Q1030" s="3">
        <v>85000</v>
      </c>
    </row>
    <row r="1031" spans="17:17" x14ac:dyDescent="0.3">
      <c r="Q1031" s="4">
        <v>85000</v>
      </c>
    </row>
    <row r="1032" spans="17:17" x14ac:dyDescent="0.3">
      <c r="Q1032" s="3">
        <v>85000</v>
      </c>
    </row>
    <row r="1033" spans="17:17" x14ac:dyDescent="0.3">
      <c r="Q1033" s="4">
        <v>85000</v>
      </c>
    </row>
    <row r="1034" spans="17:17" x14ac:dyDescent="0.3">
      <c r="Q1034" s="3">
        <v>85000</v>
      </c>
    </row>
    <row r="1035" spans="17:17" x14ac:dyDescent="0.3">
      <c r="Q1035" s="4">
        <v>85000</v>
      </c>
    </row>
    <row r="1036" spans="17:17" x14ac:dyDescent="0.3">
      <c r="Q1036" s="3">
        <v>85000</v>
      </c>
    </row>
    <row r="1037" spans="17:17" x14ac:dyDescent="0.3">
      <c r="Q1037" s="4">
        <v>85000</v>
      </c>
    </row>
    <row r="1038" spans="17:17" x14ac:dyDescent="0.3">
      <c r="Q1038" s="3">
        <v>85000</v>
      </c>
    </row>
    <row r="1039" spans="17:17" x14ac:dyDescent="0.3">
      <c r="Q1039" s="4">
        <v>85000</v>
      </c>
    </row>
    <row r="1040" spans="17:17" x14ac:dyDescent="0.3">
      <c r="Q1040" s="3">
        <v>85000</v>
      </c>
    </row>
    <row r="1041" spans="17:17" x14ac:dyDescent="0.3">
      <c r="Q1041" s="4">
        <v>85000</v>
      </c>
    </row>
    <row r="1042" spans="17:17" x14ac:dyDescent="0.3">
      <c r="Q1042" s="3">
        <v>85000</v>
      </c>
    </row>
    <row r="1043" spans="17:17" x14ac:dyDescent="0.3">
      <c r="Q1043" s="4">
        <v>85000</v>
      </c>
    </row>
    <row r="1044" spans="17:17" x14ac:dyDescent="0.3">
      <c r="Q1044" s="3">
        <v>85000</v>
      </c>
    </row>
    <row r="1045" spans="17:17" x14ac:dyDescent="0.3">
      <c r="Q1045" s="4">
        <v>85000</v>
      </c>
    </row>
    <row r="1046" spans="17:17" x14ac:dyDescent="0.3">
      <c r="Q1046" s="3">
        <v>85000</v>
      </c>
    </row>
    <row r="1047" spans="17:17" x14ac:dyDescent="0.3">
      <c r="Q1047" s="4">
        <v>85600</v>
      </c>
    </row>
    <row r="1048" spans="17:17" x14ac:dyDescent="0.3">
      <c r="Q1048" s="3">
        <v>86000</v>
      </c>
    </row>
    <row r="1049" spans="17:17" x14ac:dyDescent="0.3">
      <c r="Q1049" s="4">
        <v>86000</v>
      </c>
    </row>
    <row r="1050" spans="17:17" x14ac:dyDescent="0.3">
      <c r="Q1050" s="3">
        <v>86000</v>
      </c>
    </row>
    <row r="1051" spans="17:17" x14ac:dyDescent="0.3">
      <c r="Q1051" s="4">
        <v>87000</v>
      </c>
    </row>
    <row r="1052" spans="17:17" x14ac:dyDescent="0.3">
      <c r="Q1052" s="3">
        <v>87000</v>
      </c>
    </row>
    <row r="1053" spans="17:17" x14ac:dyDescent="0.3">
      <c r="Q1053" s="4">
        <v>87550</v>
      </c>
    </row>
    <row r="1054" spans="17:17" x14ac:dyDescent="0.3">
      <c r="Q1054" s="3">
        <v>88000</v>
      </c>
    </row>
    <row r="1055" spans="17:17" x14ac:dyDescent="0.3">
      <c r="Q1055" s="4">
        <v>88000</v>
      </c>
    </row>
    <row r="1056" spans="17:17" x14ac:dyDescent="0.3">
      <c r="Q1056" s="3">
        <v>88000</v>
      </c>
    </row>
    <row r="1057" spans="17:17" x14ac:dyDescent="0.3">
      <c r="Q1057" s="4">
        <v>88000</v>
      </c>
    </row>
    <row r="1058" spans="17:17" x14ac:dyDescent="0.3">
      <c r="Q1058" s="3">
        <v>89000</v>
      </c>
    </row>
    <row r="1059" spans="17:17" x14ac:dyDescent="0.3">
      <c r="Q1059" s="4">
        <v>89200</v>
      </c>
    </row>
    <row r="1060" spans="17:17" x14ac:dyDescent="0.3">
      <c r="Q1060" s="3">
        <v>89570</v>
      </c>
    </row>
    <row r="1061" spans="17:17" x14ac:dyDescent="0.3">
      <c r="Q1061" s="4">
        <v>90000</v>
      </c>
    </row>
    <row r="1062" spans="17:17" x14ac:dyDescent="0.3">
      <c r="Q1062" s="3">
        <v>90000</v>
      </c>
    </row>
    <row r="1063" spans="17:17" x14ac:dyDescent="0.3">
      <c r="Q1063" s="4">
        <v>90000</v>
      </c>
    </row>
    <row r="1064" spans="17:17" x14ac:dyDescent="0.3">
      <c r="Q1064" s="3">
        <v>90000</v>
      </c>
    </row>
    <row r="1065" spans="17:17" x14ac:dyDescent="0.3">
      <c r="Q1065" s="4">
        <v>90000</v>
      </c>
    </row>
    <row r="1066" spans="17:17" x14ac:dyDescent="0.3">
      <c r="Q1066" s="3">
        <v>90000</v>
      </c>
    </row>
    <row r="1067" spans="17:17" x14ac:dyDescent="0.3">
      <c r="Q1067" s="4">
        <v>90000</v>
      </c>
    </row>
    <row r="1068" spans="17:17" x14ac:dyDescent="0.3">
      <c r="Q1068" s="3">
        <v>90000</v>
      </c>
    </row>
    <row r="1069" spans="17:17" x14ac:dyDescent="0.3">
      <c r="Q1069" s="4">
        <v>90000</v>
      </c>
    </row>
    <row r="1070" spans="17:17" x14ac:dyDescent="0.3">
      <c r="Q1070" s="3">
        <v>90000</v>
      </c>
    </row>
    <row r="1071" spans="17:17" x14ac:dyDescent="0.3">
      <c r="Q1071" s="4">
        <v>90000</v>
      </c>
    </row>
    <row r="1072" spans="17:17" x14ac:dyDescent="0.3">
      <c r="Q1072" s="3">
        <v>90000</v>
      </c>
    </row>
    <row r="1073" spans="17:17" x14ac:dyDescent="0.3">
      <c r="Q1073" s="4">
        <v>90000</v>
      </c>
    </row>
    <row r="1074" spans="17:17" x14ac:dyDescent="0.3">
      <c r="Q1074" s="3">
        <v>90000</v>
      </c>
    </row>
    <row r="1075" spans="17:17" x14ac:dyDescent="0.3">
      <c r="Q1075" s="4">
        <v>90000</v>
      </c>
    </row>
    <row r="1076" spans="17:17" x14ac:dyDescent="0.3">
      <c r="Q1076" s="3">
        <v>90000</v>
      </c>
    </row>
    <row r="1077" spans="17:17" x14ac:dyDescent="0.3">
      <c r="Q1077" s="4">
        <v>90000</v>
      </c>
    </row>
    <row r="1078" spans="17:17" x14ac:dyDescent="0.3">
      <c r="Q1078" s="3">
        <v>90000</v>
      </c>
    </row>
    <row r="1079" spans="17:17" x14ac:dyDescent="0.3">
      <c r="Q1079" s="4">
        <v>90000</v>
      </c>
    </row>
    <row r="1080" spans="17:17" x14ac:dyDescent="0.3">
      <c r="Q1080" s="3">
        <v>90000</v>
      </c>
    </row>
    <row r="1081" spans="17:17" x14ac:dyDescent="0.3">
      <c r="Q1081" s="4">
        <v>90000</v>
      </c>
    </row>
    <row r="1082" spans="17:17" x14ac:dyDescent="0.3">
      <c r="Q1082" s="3">
        <v>90000</v>
      </c>
    </row>
    <row r="1083" spans="17:17" x14ac:dyDescent="0.3">
      <c r="Q1083" s="4">
        <v>90000</v>
      </c>
    </row>
    <row r="1084" spans="17:17" x14ac:dyDescent="0.3">
      <c r="Q1084" s="3">
        <v>90000</v>
      </c>
    </row>
    <row r="1085" spans="17:17" x14ac:dyDescent="0.3">
      <c r="Q1085" s="4">
        <v>90000</v>
      </c>
    </row>
    <row r="1086" spans="17:17" x14ac:dyDescent="0.3">
      <c r="Q1086" s="3">
        <v>90000</v>
      </c>
    </row>
    <row r="1087" spans="17:17" x14ac:dyDescent="0.3">
      <c r="Q1087" s="4">
        <v>90000</v>
      </c>
    </row>
    <row r="1088" spans="17:17" x14ac:dyDescent="0.3">
      <c r="Q1088" s="3">
        <v>90000</v>
      </c>
    </row>
    <row r="1089" spans="17:17" x14ac:dyDescent="0.3">
      <c r="Q1089" s="4">
        <v>90000</v>
      </c>
    </row>
    <row r="1090" spans="17:17" x14ac:dyDescent="0.3">
      <c r="Q1090" s="3">
        <v>90000</v>
      </c>
    </row>
    <row r="1091" spans="17:17" x14ac:dyDescent="0.3">
      <c r="Q1091" s="4">
        <v>90000</v>
      </c>
    </row>
    <row r="1092" spans="17:17" x14ac:dyDescent="0.3">
      <c r="Q1092" s="3">
        <v>90000</v>
      </c>
    </row>
    <row r="1093" spans="17:17" x14ac:dyDescent="0.3">
      <c r="Q1093" s="4">
        <v>90000</v>
      </c>
    </row>
    <row r="1094" spans="17:17" x14ac:dyDescent="0.3">
      <c r="Q1094" s="3">
        <v>90000</v>
      </c>
    </row>
    <row r="1095" spans="17:17" x14ac:dyDescent="0.3">
      <c r="Q1095" s="4">
        <v>90000</v>
      </c>
    </row>
    <row r="1096" spans="17:17" x14ac:dyDescent="0.3">
      <c r="Q1096" s="3">
        <v>90000</v>
      </c>
    </row>
    <row r="1097" spans="17:17" x14ac:dyDescent="0.3">
      <c r="Q1097" s="4">
        <v>90000</v>
      </c>
    </row>
    <row r="1098" spans="17:17" x14ac:dyDescent="0.3">
      <c r="Q1098" s="3">
        <v>90000</v>
      </c>
    </row>
    <row r="1099" spans="17:17" x14ac:dyDescent="0.3">
      <c r="Q1099" s="4">
        <v>90000</v>
      </c>
    </row>
    <row r="1100" spans="17:17" x14ac:dyDescent="0.3">
      <c r="Q1100" s="3">
        <v>90000</v>
      </c>
    </row>
    <row r="1101" spans="17:17" x14ac:dyDescent="0.3">
      <c r="Q1101" s="4">
        <v>90000</v>
      </c>
    </row>
    <row r="1102" spans="17:17" x14ac:dyDescent="0.3">
      <c r="Q1102" s="3">
        <v>90000</v>
      </c>
    </row>
    <row r="1103" spans="17:17" x14ac:dyDescent="0.3">
      <c r="Q1103" s="4">
        <v>90000</v>
      </c>
    </row>
    <row r="1104" spans="17:17" x14ac:dyDescent="0.3">
      <c r="Q1104" s="3">
        <v>90000</v>
      </c>
    </row>
    <row r="1105" spans="17:17" x14ac:dyDescent="0.3">
      <c r="Q1105" s="4">
        <v>90000</v>
      </c>
    </row>
    <row r="1106" spans="17:17" x14ac:dyDescent="0.3">
      <c r="Q1106" s="3">
        <v>91000</v>
      </c>
    </row>
    <row r="1107" spans="17:17" x14ac:dyDescent="0.3">
      <c r="Q1107" s="4">
        <v>92000</v>
      </c>
    </row>
    <row r="1108" spans="17:17" x14ac:dyDescent="0.3">
      <c r="Q1108" s="3">
        <v>92000</v>
      </c>
    </row>
    <row r="1109" spans="17:17" x14ac:dyDescent="0.3">
      <c r="Q1109" s="4">
        <v>92000</v>
      </c>
    </row>
    <row r="1110" spans="17:17" x14ac:dyDescent="0.3">
      <c r="Q1110" s="3">
        <v>92000</v>
      </c>
    </row>
    <row r="1111" spans="17:17" x14ac:dyDescent="0.3">
      <c r="Q1111" s="4">
        <v>92500</v>
      </c>
    </row>
    <row r="1112" spans="17:17" x14ac:dyDescent="0.3">
      <c r="Q1112" s="3">
        <v>93000</v>
      </c>
    </row>
    <row r="1113" spans="17:17" x14ac:dyDescent="0.3">
      <c r="Q1113" s="4">
        <v>93000</v>
      </c>
    </row>
    <row r="1114" spans="17:17" x14ac:dyDescent="0.3">
      <c r="Q1114" s="3">
        <v>93000</v>
      </c>
    </row>
    <row r="1115" spans="17:17" x14ac:dyDescent="0.3">
      <c r="Q1115" s="4">
        <v>93000</v>
      </c>
    </row>
    <row r="1116" spans="17:17" x14ac:dyDescent="0.3">
      <c r="Q1116" s="3">
        <v>93000</v>
      </c>
    </row>
    <row r="1117" spans="17:17" x14ac:dyDescent="0.3">
      <c r="Q1117" s="4">
        <v>94000</v>
      </c>
    </row>
    <row r="1118" spans="17:17" x14ac:dyDescent="0.3">
      <c r="Q1118" s="3">
        <v>95000</v>
      </c>
    </row>
    <row r="1119" spans="17:17" x14ac:dyDescent="0.3">
      <c r="Q1119" s="4">
        <v>95000</v>
      </c>
    </row>
    <row r="1120" spans="17:17" x14ac:dyDescent="0.3">
      <c r="Q1120" s="3">
        <v>95000</v>
      </c>
    </row>
    <row r="1121" spans="17:17" x14ac:dyDescent="0.3">
      <c r="Q1121" s="4">
        <v>95000</v>
      </c>
    </row>
    <row r="1122" spans="17:17" x14ac:dyDescent="0.3">
      <c r="Q1122" s="3">
        <v>95000</v>
      </c>
    </row>
    <row r="1123" spans="17:17" x14ac:dyDescent="0.3">
      <c r="Q1123" s="4">
        <v>95000</v>
      </c>
    </row>
    <row r="1124" spans="17:17" x14ac:dyDescent="0.3">
      <c r="Q1124" s="3">
        <v>95000</v>
      </c>
    </row>
    <row r="1125" spans="17:17" x14ac:dyDescent="0.3">
      <c r="Q1125" s="4">
        <v>95000</v>
      </c>
    </row>
    <row r="1126" spans="17:17" x14ac:dyDescent="0.3">
      <c r="Q1126" s="3">
        <v>95000</v>
      </c>
    </row>
    <row r="1127" spans="17:17" x14ac:dyDescent="0.3">
      <c r="Q1127" s="4">
        <v>95000</v>
      </c>
    </row>
    <row r="1128" spans="17:17" x14ac:dyDescent="0.3">
      <c r="Q1128" s="3">
        <v>95000</v>
      </c>
    </row>
    <row r="1129" spans="17:17" x14ac:dyDescent="0.3">
      <c r="Q1129" s="4">
        <v>95000</v>
      </c>
    </row>
    <row r="1130" spans="17:17" x14ac:dyDescent="0.3">
      <c r="Q1130" s="3">
        <v>95000</v>
      </c>
    </row>
    <row r="1131" spans="17:17" x14ac:dyDescent="0.3">
      <c r="Q1131" s="4">
        <v>95000</v>
      </c>
    </row>
    <row r="1132" spans="17:17" x14ac:dyDescent="0.3">
      <c r="Q1132" s="3">
        <v>95000</v>
      </c>
    </row>
    <row r="1133" spans="17:17" x14ac:dyDescent="0.3">
      <c r="Q1133" s="4">
        <v>95000</v>
      </c>
    </row>
    <row r="1134" spans="17:17" x14ac:dyDescent="0.3">
      <c r="Q1134" s="3">
        <v>95000</v>
      </c>
    </row>
    <row r="1135" spans="17:17" x14ac:dyDescent="0.3">
      <c r="Q1135" s="4">
        <v>95000</v>
      </c>
    </row>
    <row r="1136" spans="17:17" x14ac:dyDescent="0.3">
      <c r="Q1136" s="3">
        <v>95000</v>
      </c>
    </row>
    <row r="1137" spans="17:17" x14ac:dyDescent="0.3">
      <c r="Q1137" s="4">
        <v>95000</v>
      </c>
    </row>
    <row r="1138" spans="17:17" x14ac:dyDescent="0.3">
      <c r="Q1138" s="3">
        <v>95000</v>
      </c>
    </row>
    <row r="1139" spans="17:17" x14ac:dyDescent="0.3">
      <c r="Q1139" s="4">
        <v>95000</v>
      </c>
    </row>
    <row r="1140" spans="17:17" x14ac:dyDescent="0.3">
      <c r="Q1140" s="3">
        <v>95500</v>
      </c>
    </row>
    <row r="1141" spans="17:17" x14ac:dyDescent="0.3">
      <c r="Q1141" s="4">
        <v>96000</v>
      </c>
    </row>
    <row r="1142" spans="17:17" x14ac:dyDescent="0.3">
      <c r="Q1142" s="3">
        <v>96000</v>
      </c>
    </row>
    <row r="1143" spans="17:17" x14ac:dyDescent="0.3">
      <c r="Q1143" s="4">
        <v>98000</v>
      </c>
    </row>
    <row r="1144" spans="17:17" x14ac:dyDescent="0.3">
      <c r="Q1144" s="3">
        <v>98000</v>
      </c>
    </row>
    <row r="1145" spans="17:17" x14ac:dyDescent="0.3">
      <c r="Q1145" s="4">
        <v>99000</v>
      </c>
    </row>
    <row r="1146" spans="17:17" x14ac:dyDescent="0.3">
      <c r="Q1146" s="3">
        <v>99000</v>
      </c>
    </row>
    <row r="1147" spans="17:17" x14ac:dyDescent="0.3">
      <c r="Q1147" s="4">
        <v>99000</v>
      </c>
    </row>
    <row r="1148" spans="17:17" x14ac:dyDescent="0.3">
      <c r="Q1148" s="3">
        <v>100000</v>
      </c>
    </row>
    <row r="1149" spans="17:17" x14ac:dyDescent="0.3">
      <c r="Q1149" s="4">
        <v>100000</v>
      </c>
    </row>
    <row r="1150" spans="17:17" x14ac:dyDescent="0.3">
      <c r="Q1150" s="3">
        <v>100000</v>
      </c>
    </row>
    <row r="1151" spans="17:17" x14ac:dyDescent="0.3">
      <c r="Q1151" s="4">
        <v>100000</v>
      </c>
    </row>
    <row r="1152" spans="17:17" x14ac:dyDescent="0.3">
      <c r="Q1152" s="3">
        <v>100000</v>
      </c>
    </row>
    <row r="1153" spans="17:17" x14ac:dyDescent="0.3">
      <c r="Q1153" s="4">
        <v>100000</v>
      </c>
    </row>
    <row r="1154" spans="17:17" x14ac:dyDescent="0.3">
      <c r="Q1154" s="3">
        <v>100000</v>
      </c>
    </row>
    <row r="1155" spans="17:17" x14ac:dyDescent="0.3">
      <c r="Q1155" s="4">
        <v>100000</v>
      </c>
    </row>
    <row r="1156" spans="17:17" x14ac:dyDescent="0.3">
      <c r="Q1156" s="3">
        <v>100000</v>
      </c>
    </row>
    <row r="1157" spans="17:17" x14ac:dyDescent="0.3">
      <c r="Q1157" s="4">
        <v>100000</v>
      </c>
    </row>
    <row r="1158" spans="17:17" x14ac:dyDescent="0.3">
      <c r="Q1158" s="3">
        <v>100000</v>
      </c>
    </row>
    <row r="1159" spans="17:17" x14ac:dyDescent="0.3">
      <c r="Q1159" s="4">
        <v>100000</v>
      </c>
    </row>
    <row r="1160" spans="17:17" x14ac:dyDescent="0.3">
      <c r="Q1160" s="3">
        <v>100000</v>
      </c>
    </row>
    <row r="1161" spans="17:17" x14ac:dyDescent="0.3">
      <c r="Q1161" s="4">
        <v>100000</v>
      </c>
    </row>
    <row r="1162" spans="17:17" x14ac:dyDescent="0.3">
      <c r="Q1162" s="3">
        <v>100000</v>
      </c>
    </row>
    <row r="1163" spans="17:17" x14ac:dyDescent="0.3">
      <c r="Q1163" s="4">
        <v>100000</v>
      </c>
    </row>
    <row r="1164" spans="17:17" x14ac:dyDescent="0.3">
      <c r="Q1164" s="3">
        <v>100000</v>
      </c>
    </row>
    <row r="1165" spans="17:17" x14ac:dyDescent="0.3">
      <c r="Q1165" s="4">
        <v>100000</v>
      </c>
    </row>
    <row r="1166" spans="17:17" x14ac:dyDescent="0.3">
      <c r="Q1166" s="3">
        <v>100000</v>
      </c>
    </row>
    <row r="1167" spans="17:17" x14ac:dyDescent="0.3">
      <c r="Q1167" s="4">
        <v>100000</v>
      </c>
    </row>
    <row r="1168" spans="17:17" x14ac:dyDescent="0.3">
      <c r="Q1168" s="3">
        <v>100000</v>
      </c>
    </row>
    <row r="1169" spans="17:17" x14ac:dyDescent="0.3">
      <c r="Q1169" s="4">
        <v>100000</v>
      </c>
    </row>
    <row r="1170" spans="17:17" x14ac:dyDescent="0.3">
      <c r="Q1170" s="3">
        <v>100000</v>
      </c>
    </row>
    <row r="1171" spans="17:17" x14ac:dyDescent="0.3">
      <c r="Q1171" s="4">
        <v>100000</v>
      </c>
    </row>
    <row r="1172" spans="17:17" x14ac:dyDescent="0.3">
      <c r="Q1172" s="3">
        <v>100000</v>
      </c>
    </row>
    <row r="1173" spans="17:17" x14ac:dyDescent="0.3">
      <c r="Q1173" s="4">
        <v>100000</v>
      </c>
    </row>
    <row r="1174" spans="17:17" x14ac:dyDescent="0.3">
      <c r="Q1174" s="3">
        <v>100000</v>
      </c>
    </row>
    <row r="1175" spans="17:17" x14ac:dyDescent="0.3">
      <c r="Q1175" s="4">
        <v>100000</v>
      </c>
    </row>
    <row r="1176" spans="17:17" x14ac:dyDescent="0.3">
      <c r="Q1176" s="3">
        <v>102000</v>
      </c>
    </row>
    <row r="1177" spans="17:17" x14ac:dyDescent="0.3">
      <c r="Q1177" s="4">
        <v>103000</v>
      </c>
    </row>
    <row r="1178" spans="17:17" x14ac:dyDescent="0.3">
      <c r="Q1178" s="3">
        <v>103000</v>
      </c>
    </row>
    <row r="1179" spans="17:17" x14ac:dyDescent="0.3">
      <c r="Q1179" s="4">
        <v>105000</v>
      </c>
    </row>
    <row r="1180" spans="17:17" x14ac:dyDescent="0.3">
      <c r="Q1180" s="3">
        <v>105000</v>
      </c>
    </row>
    <row r="1181" spans="17:17" x14ac:dyDescent="0.3">
      <c r="Q1181" s="4">
        <v>105000</v>
      </c>
    </row>
    <row r="1182" spans="17:17" x14ac:dyDescent="0.3">
      <c r="Q1182" s="3">
        <v>105000</v>
      </c>
    </row>
    <row r="1183" spans="17:17" x14ac:dyDescent="0.3">
      <c r="Q1183" s="4">
        <v>105000</v>
      </c>
    </row>
    <row r="1184" spans="17:17" x14ac:dyDescent="0.3">
      <c r="Q1184" s="3">
        <v>105000</v>
      </c>
    </row>
    <row r="1185" spans="17:17" x14ac:dyDescent="0.3">
      <c r="Q1185" s="4">
        <v>105000</v>
      </c>
    </row>
    <row r="1186" spans="17:17" x14ac:dyDescent="0.3">
      <c r="Q1186" s="3">
        <v>106000</v>
      </c>
    </row>
    <row r="1187" spans="17:17" x14ac:dyDescent="0.3">
      <c r="Q1187" s="4">
        <v>107000</v>
      </c>
    </row>
    <row r="1188" spans="17:17" x14ac:dyDescent="0.3">
      <c r="Q1188" s="3">
        <v>108000</v>
      </c>
    </row>
    <row r="1189" spans="17:17" x14ac:dyDescent="0.3">
      <c r="Q1189" s="4">
        <v>108000</v>
      </c>
    </row>
    <row r="1190" spans="17:17" x14ac:dyDescent="0.3">
      <c r="Q1190" s="3">
        <v>108000</v>
      </c>
    </row>
    <row r="1191" spans="17:17" x14ac:dyDescent="0.3">
      <c r="Q1191" s="4">
        <v>108500</v>
      </c>
    </row>
    <row r="1192" spans="17:17" x14ac:dyDescent="0.3">
      <c r="Q1192" s="3">
        <v>110000</v>
      </c>
    </row>
    <row r="1193" spans="17:17" x14ac:dyDescent="0.3">
      <c r="Q1193" s="4">
        <v>110000</v>
      </c>
    </row>
    <row r="1194" spans="17:17" x14ac:dyDescent="0.3">
      <c r="Q1194" s="3">
        <v>110000</v>
      </c>
    </row>
    <row r="1195" spans="17:17" x14ac:dyDescent="0.3">
      <c r="Q1195" s="4">
        <v>110000</v>
      </c>
    </row>
    <row r="1196" spans="17:17" x14ac:dyDescent="0.3">
      <c r="Q1196" s="3">
        <v>110000</v>
      </c>
    </row>
    <row r="1197" spans="17:17" x14ac:dyDescent="0.3">
      <c r="Q1197" s="4">
        <v>110000</v>
      </c>
    </row>
    <row r="1198" spans="17:17" x14ac:dyDescent="0.3">
      <c r="Q1198" s="3">
        <v>110000</v>
      </c>
    </row>
    <row r="1199" spans="17:17" x14ac:dyDescent="0.3">
      <c r="Q1199" s="4">
        <v>110000</v>
      </c>
    </row>
    <row r="1200" spans="17:17" x14ac:dyDescent="0.3">
      <c r="Q1200" s="3">
        <v>110000</v>
      </c>
    </row>
    <row r="1201" spans="17:17" x14ac:dyDescent="0.3">
      <c r="Q1201" s="4">
        <v>110000</v>
      </c>
    </row>
    <row r="1202" spans="17:17" x14ac:dyDescent="0.3">
      <c r="Q1202" s="3">
        <v>110000</v>
      </c>
    </row>
    <row r="1203" spans="17:17" x14ac:dyDescent="0.3">
      <c r="Q1203" s="4">
        <v>111111</v>
      </c>
    </row>
    <row r="1204" spans="17:17" x14ac:dyDescent="0.3">
      <c r="Q1204" s="3">
        <v>113000</v>
      </c>
    </row>
    <row r="1205" spans="17:17" x14ac:dyDescent="0.3">
      <c r="Q1205" s="4">
        <v>115000</v>
      </c>
    </row>
    <row r="1206" spans="17:17" x14ac:dyDescent="0.3">
      <c r="Q1206" s="3">
        <v>115000</v>
      </c>
    </row>
    <row r="1207" spans="17:17" x14ac:dyDescent="0.3">
      <c r="Q1207" s="4">
        <v>115000</v>
      </c>
    </row>
    <row r="1208" spans="17:17" x14ac:dyDescent="0.3">
      <c r="Q1208" s="3">
        <v>115000</v>
      </c>
    </row>
    <row r="1209" spans="17:17" x14ac:dyDescent="0.3">
      <c r="Q1209" s="4">
        <v>115000</v>
      </c>
    </row>
    <row r="1210" spans="17:17" x14ac:dyDescent="0.3">
      <c r="Q1210" s="3">
        <v>120000</v>
      </c>
    </row>
    <row r="1211" spans="17:17" x14ac:dyDescent="0.3">
      <c r="Q1211" s="4">
        <v>120000</v>
      </c>
    </row>
    <row r="1212" spans="17:17" x14ac:dyDescent="0.3">
      <c r="Q1212" s="3">
        <v>120000</v>
      </c>
    </row>
    <row r="1213" spans="17:17" x14ac:dyDescent="0.3">
      <c r="Q1213" s="4">
        <v>120000</v>
      </c>
    </row>
    <row r="1214" spans="17:17" x14ac:dyDescent="0.3">
      <c r="Q1214" s="3">
        <v>120000</v>
      </c>
    </row>
    <row r="1215" spans="17:17" x14ac:dyDescent="0.3">
      <c r="Q1215" s="4">
        <v>120000</v>
      </c>
    </row>
    <row r="1216" spans="17:17" x14ac:dyDescent="0.3">
      <c r="Q1216" s="3">
        <v>120000</v>
      </c>
    </row>
    <row r="1217" spans="17:17" x14ac:dyDescent="0.3">
      <c r="Q1217" s="4">
        <v>120000</v>
      </c>
    </row>
    <row r="1218" spans="17:17" x14ac:dyDescent="0.3">
      <c r="Q1218" s="3">
        <v>120000</v>
      </c>
    </row>
    <row r="1219" spans="17:17" x14ac:dyDescent="0.3">
      <c r="Q1219" s="4">
        <v>120000</v>
      </c>
    </row>
    <row r="1220" spans="17:17" x14ac:dyDescent="0.3">
      <c r="Q1220" s="3">
        <v>120000</v>
      </c>
    </row>
    <row r="1221" spans="17:17" x14ac:dyDescent="0.3">
      <c r="Q1221" s="4">
        <v>120000</v>
      </c>
    </row>
    <row r="1222" spans="17:17" x14ac:dyDescent="0.3">
      <c r="Q1222" s="3">
        <v>122000</v>
      </c>
    </row>
    <row r="1223" spans="17:17" x14ac:dyDescent="0.3">
      <c r="Q1223" s="4">
        <v>123600</v>
      </c>
    </row>
    <row r="1224" spans="17:17" x14ac:dyDescent="0.3">
      <c r="Q1224" s="3">
        <v>124000</v>
      </c>
    </row>
    <row r="1225" spans="17:17" x14ac:dyDescent="0.3">
      <c r="Q1225" s="4">
        <v>130000</v>
      </c>
    </row>
    <row r="1226" spans="17:17" x14ac:dyDescent="0.3">
      <c r="Q1226" s="3">
        <v>130000</v>
      </c>
    </row>
    <row r="1227" spans="17:17" x14ac:dyDescent="0.3">
      <c r="Q1227" s="4">
        <v>130000</v>
      </c>
    </row>
    <row r="1228" spans="17:17" x14ac:dyDescent="0.3">
      <c r="Q1228" s="3">
        <v>130000</v>
      </c>
    </row>
    <row r="1229" spans="17:17" x14ac:dyDescent="0.3">
      <c r="Q1229" s="4">
        <v>130000</v>
      </c>
    </row>
    <row r="1230" spans="17:17" x14ac:dyDescent="0.3">
      <c r="Q1230" s="3">
        <v>130000</v>
      </c>
    </row>
    <row r="1231" spans="17:17" x14ac:dyDescent="0.3">
      <c r="Q1231" s="4">
        <v>135000</v>
      </c>
    </row>
    <row r="1232" spans="17:17" x14ac:dyDescent="0.3">
      <c r="Q1232" s="3">
        <v>140000</v>
      </c>
    </row>
    <row r="1233" spans="17:17" x14ac:dyDescent="0.3">
      <c r="Q1233" s="4">
        <v>140000</v>
      </c>
    </row>
    <row r="1234" spans="17:17" x14ac:dyDescent="0.3">
      <c r="Q1234" s="3">
        <v>150000</v>
      </c>
    </row>
    <row r="1235" spans="17:17" x14ac:dyDescent="0.3">
      <c r="Q1235" s="4">
        <v>150000</v>
      </c>
    </row>
    <row r="1236" spans="17:17" x14ac:dyDescent="0.3">
      <c r="Q1236" s="3">
        <v>150000</v>
      </c>
    </row>
    <row r="1237" spans="17:17" x14ac:dyDescent="0.3">
      <c r="Q1237" s="4">
        <v>150000</v>
      </c>
    </row>
    <row r="1238" spans="17:17" x14ac:dyDescent="0.3">
      <c r="Q1238" s="3">
        <v>150000</v>
      </c>
    </row>
    <row r="1239" spans="17:17" x14ac:dyDescent="0.3">
      <c r="Q1239" s="4">
        <v>151872</v>
      </c>
    </row>
    <row r="1240" spans="17:17" x14ac:dyDescent="0.3">
      <c r="Q1240" s="3">
        <v>154000</v>
      </c>
    </row>
    <row r="1241" spans="17:17" x14ac:dyDescent="0.3">
      <c r="Q1241" s="4">
        <v>156000</v>
      </c>
    </row>
    <row r="1242" spans="17:17" x14ac:dyDescent="0.3">
      <c r="Q1242" s="3">
        <v>159000</v>
      </c>
    </row>
    <row r="1243" spans="17:17" x14ac:dyDescent="0.3">
      <c r="Q1243" s="4">
        <v>160000</v>
      </c>
    </row>
    <row r="1244" spans="17:17" x14ac:dyDescent="0.3">
      <c r="Q1244" s="3">
        <v>172000</v>
      </c>
    </row>
    <row r="1245" spans="17:17" x14ac:dyDescent="0.3">
      <c r="Q1245" s="4">
        <v>180000</v>
      </c>
    </row>
    <row r="1246" spans="17:17" x14ac:dyDescent="0.3">
      <c r="Q1246" s="3">
        <v>180000</v>
      </c>
    </row>
    <row r="1247" spans="17:17" x14ac:dyDescent="0.3">
      <c r="Q1247" s="4">
        <v>200000</v>
      </c>
    </row>
    <row r="1248" spans="17:17" x14ac:dyDescent="0.3">
      <c r="Q1248" s="3">
        <v>200000</v>
      </c>
    </row>
    <row r="1249" spans="17:17" x14ac:dyDescent="0.3">
      <c r="Q1249" s="4">
        <v>200000</v>
      </c>
    </row>
    <row r="1250" spans="17:17" x14ac:dyDescent="0.3">
      <c r="Q1250" s="3">
        <v>200000</v>
      </c>
    </row>
    <row r="1251" spans="17:17" x14ac:dyDescent="0.3">
      <c r="Q1251" s="4">
        <v>240000</v>
      </c>
    </row>
    <row r="1252" spans="17:17" x14ac:dyDescent="0.3">
      <c r="Q1252" s="3">
        <v>250000</v>
      </c>
    </row>
    <row r="1253" spans="17:17" x14ac:dyDescent="0.3">
      <c r="Q1253" s="4">
        <v>300000</v>
      </c>
    </row>
  </sheetData>
  <mergeCells count="2">
    <mergeCell ref="B4:E5"/>
    <mergeCell ref="G5:H7"/>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9527-09BE-4B1E-B7BA-089A873749C7}">
  <dimension ref="B1:R1254"/>
  <sheetViews>
    <sheetView showGridLines="0" topLeftCell="A16" workbookViewId="0"/>
  </sheetViews>
  <sheetFormatPr defaultRowHeight="14.4" x14ac:dyDescent="0.3"/>
  <cols>
    <col min="2" max="2" width="16.44140625" bestFit="1" customWidth="1"/>
    <col min="3" max="3" width="27.109375" customWidth="1"/>
    <col min="4" max="4" width="9.5546875" bestFit="1" customWidth="1"/>
    <col min="5" max="5" width="11.77734375" bestFit="1" customWidth="1"/>
  </cols>
  <sheetData>
    <row r="1" spans="2:18" x14ac:dyDescent="0.3">
      <c r="R1" s="2" t="s">
        <v>9</v>
      </c>
    </row>
    <row r="2" spans="2:18" x14ac:dyDescent="0.3">
      <c r="R2" s="4">
        <v>200000</v>
      </c>
    </row>
    <row r="3" spans="2:18" x14ac:dyDescent="0.3">
      <c r="R3" s="3">
        <v>200000</v>
      </c>
    </row>
    <row r="4" spans="2:18" x14ac:dyDescent="0.3">
      <c r="R4" s="4">
        <v>200000</v>
      </c>
    </row>
    <row r="5" spans="2:18" x14ac:dyDescent="0.3">
      <c r="B5" s="144" t="s">
        <v>545</v>
      </c>
      <c r="C5" s="145"/>
      <c r="D5" s="145"/>
      <c r="E5" s="146"/>
      <c r="R5" s="3">
        <v>200000</v>
      </c>
    </row>
    <row r="6" spans="2:18" x14ac:dyDescent="0.3">
      <c r="B6" s="147"/>
      <c r="C6" s="137"/>
      <c r="D6" s="137"/>
      <c r="E6" s="148"/>
      <c r="R6" s="4">
        <v>200000</v>
      </c>
    </row>
    <row r="7" spans="2:18" x14ac:dyDescent="0.3">
      <c r="B7" s="61" t="s">
        <v>469</v>
      </c>
      <c r="C7" s="62" t="s">
        <v>427</v>
      </c>
      <c r="D7" s="63" t="s">
        <v>428</v>
      </c>
      <c r="E7" s="64" t="s">
        <v>429</v>
      </c>
      <c r="R7" s="3">
        <v>170000</v>
      </c>
    </row>
    <row r="8" spans="2:18" x14ac:dyDescent="0.3">
      <c r="B8" s="45" t="s">
        <v>459</v>
      </c>
      <c r="C8" s="49">
        <f>COUNTIFS(Tabela1[Yearly bonus + stocks in EUR],"&gt;=0",Tabela1[Yearly bonus + stocks in EUR],"&lt;10000")</f>
        <v>511</v>
      </c>
      <c r="D8" s="50">
        <f t="shared" ref="D8:D18" si="0">C8/$C$18</f>
        <v>0.63636363636363635</v>
      </c>
      <c r="E8" s="51">
        <f>D8*100</f>
        <v>63.636363636363633</v>
      </c>
      <c r="R8" s="4">
        <v>150000</v>
      </c>
    </row>
    <row r="9" spans="2:18" x14ac:dyDescent="0.3">
      <c r="B9" s="45" t="s">
        <v>460</v>
      </c>
      <c r="C9" s="49">
        <f>COUNTIFS(Tabela1[Yearly bonus + stocks in EUR],"&gt;=10000",Tabela1[Yearly bonus + stocks in EUR],"&lt;20000")</f>
        <v>101</v>
      </c>
      <c r="D9" s="50">
        <f t="shared" si="0"/>
        <v>0.12577833125778332</v>
      </c>
      <c r="E9" s="51">
        <f t="shared" ref="E9:E18" si="1">D9*100</f>
        <v>12.577833125778332</v>
      </c>
      <c r="R9" s="3">
        <v>150000</v>
      </c>
    </row>
    <row r="10" spans="2:18" x14ac:dyDescent="0.3">
      <c r="B10" s="45" t="s">
        <v>461</v>
      </c>
      <c r="C10" s="49">
        <f>COUNTIFS(Tabela1[Yearly bonus + stocks in EUR],"&gt;=20000",Tabela1[Yearly bonus + stocks in EUR],"&lt;30000")</f>
        <v>36</v>
      </c>
      <c r="D10" s="50">
        <f t="shared" si="0"/>
        <v>4.4831880448318803E-2</v>
      </c>
      <c r="E10" s="51">
        <f t="shared" si="1"/>
        <v>4.4831880448318806</v>
      </c>
      <c r="R10" s="4">
        <v>150000</v>
      </c>
    </row>
    <row r="11" spans="2:18" x14ac:dyDescent="0.3">
      <c r="B11" s="45" t="s">
        <v>462</v>
      </c>
      <c r="C11" s="49">
        <f>COUNTIFS(Tabela1[Yearly bonus + stocks in EUR],"&gt;=30000",Tabela1[Yearly bonus + stocks in EUR],"&lt;40000")</f>
        <v>18</v>
      </c>
      <c r="D11" s="50">
        <f t="shared" si="0"/>
        <v>2.2415940224159402E-2</v>
      </c>
      <c r="E11" s="51">
        <f t="shared" si="1"/>
        <v>2.2415940224159403</v>
      </c>
      <c r="R11" s="3">
        <v>140000</v>
      </c>
    </row>
    <row r="12" spans="2:18" x14ac:dyDescent="0.3">
      <c r="B12" s="45" t="s">
        <v>463</v>
      </c>
      <c r="C12" s="49">
        <f>COUNTIFS(Tabela1[Yearly bonus + stocks in EUR],"&gt;=40000",Tabela1[Yearly bonus + stocks in EUR],"&lt;50000")</f>
        <v>19</v>
      </c>
      <c r="D12" s="50">
        <f t="shared" si="0"/>
        <v>2.3661270236612703E-2</v>
      </c>
      <c r="E12" s="51">
        <f t="shared" si="1"/>
        <v>2.3661270236612704</v>
      </c>
      <c r="R12" s="4">
        <v>125000</v>
      </c>
    </row>
    <row r="13" spans="2:18" x14ac:dyDescent="0.3">
      <c r="B13" s="45" t="s">
        <v>464</v>
      </c>
      <c r="C13" s="49">
        <f>COUNTIFS(Tabela1[Yearly bonus + stocks in EUR],"&gt;=60000",Tabela1[Yearly bonus + stocks in EUR],"&lt;70000")</f>
        <v>21</v>
      </c>
      <c r="D13" s="50">
        <f t="shared" si="0"/>
        <v>2.6151930261519303E-2</v>
      </c>
      <c r="E13" s="51">
        <f t="shared" si="1"/>
        <v>2.6151930261519305</v>
      </c>
      <c r="R13" s="3">
        <v>120000</v>
      </c>
    </row>
    <row r="14" spans="2:18" x14ac:dyDescent="0.3">
      <c r="B14" s="45" t="s">
        <v>465</v>
      </c>
      <c r="C14" s="49">
        <f>COUNTIFS(Tabela1[Yearly bonus + stocks in EUR],"&gt;=70000",Tabela1[Yearly bonus + stocks in EUR],"&lt;80000")</f>
        <v>37</v>
      </c>
      <c r="D14" s="50">
        <f t="shared" si="0"/>
        <v>4.6077210460772101E-2</v>
      </c>
      <c r="E14" s="51">
        <f t="shared" si="1"/>
        <v>4.6077210460772102</v>
      </c>
      <c r="R14" s="4">
        <v>120000</v>
      </c>
    </row>
    <row r="15" spans="2:18" x14ac:dyDescent="0.3">
      <c r="B15" s="45" t="s">
        <v>466</v>
      </c>
      <c r="C15" s="49">
        <f>COUNTIFS(Tabela1[Yearly bonus + stocks in EUR],"&gt;=80000",Tabela1[Yearly bonus + stocks in EUR],"&lt;90000")</f>
        <v>18</v>
      </c>
      <c r="D15" s="50">
        <f t="shared" si="0"/>
        <v>2.2415940224159402E-2</v>
      </c>
      <c r="E15" s="51">
        <f t="shared" si="1"/>
        <v>2.2415940224159403</v>
      </c>
      <c r="R15" s="3">
        <v>120000</v>
      </c>
    </row>
    <row r="16" spans="2:18" x14ac:dyDescent="0.3">
      <c r="B16" s="45" t="s">
        <v>467</v>
      </c>
      <c r="C16" s="49">
        <f>COUNTIFS(Tabela1[Yearly bonus + stocks in EUR],"&gt;=90000",Tabela1[Yearly bonus + stocks in EUR],"&lt;100000")</f>
        <v>13</v>
      </c>
      <c r="D16" s="50">
        <f t="shared" si="0"/>
        <v>1.61892901618929E-2</v>
      </c>
      <c r="E16" s="51">
        <f t="shared" si="1"/>
        <v>1.61892901618929</v>
      </c>
      <c r="R16" s="4">
        <v>120000</v>
      </c>
    </row>
    <row r="17" spans="2:18" x14ac:dyDescent="0.3">
      <c r="B17" s="45" t="s">
        <v>468</v>
      </c>
      <c r="C17" s="49">
        <f>COUNTIFS(Tabela1[Yearly bonus + stocks in EUR],"&gt;=100000")</f>
        <v>29</v>
      </c>
      <c r="D17" s="50">
        <f t="shared" si="0"/>
        <v>3.6114570361145702E-2</v>
      </c>
      <c r="E17" s="51">
        <f t="shared" si="1"/>
        <v>3.6114570361145701</v>
      </c>
      <c r="R17" s="3">
        <v>120000</v>
      </c>
    </row>
    <row r="18" spans="2:18" x14ac:dyDescent="0.3">
      <c r="B18" s="52" t="s">
        <v>425</v>
      </c>
      <c r="C18" s="53">
        <f>SUM(C8:C17)</f>
        <v>803</v>
      </c>
      <c r="D18" s="53">
        <f t="shared" si="0"/>
        <v>1</v>
      </c>
      <c r="E18" s="54">
        <f t="shared" si="1"/>
        <v>100</v>
      </c>
      <c r="R18" s="4">
        <v>112000</v>
      </c>
    </row>
    <row r="19" spans="2:18" x14ac:dyDescent="0.3">
      <c r="R19" s="3">
        <v>110000</v>
      </c>
    </row>
    <row r="20" spans="2:18" x14ac:dyDescent="0.3">
      <c r="R20" s="4">
        <v>107000</v>
      </c>
    </row>
    <row r="21" spans="2:18" x14ac:dyDescent="0.3">
      <c r="B21" s="138" t="s">
        <v>546</v>
      </c>
      <c r="C21" s="139"/>
      <c r="R21" s="3">
        <v>106000</v>
      </c>
    </row>
    <row r="22" spans="2:18" x14ac:dyDescent="0.3">
      <c r="B22" s="140"/>
      <c r="C22" s="141"/>
      <c r="R22" s="4">
        <v>105000</v>
      </c>
    </row>
    <row r="23" spans="2:18" x14ac:dyDescent="0.3">
      <c r="B23" s="142"/>
      <c r="C23" s="143"/>
      <c r="R23" s="3">
        <v>102600</v>
      </c>
    </row>
    <row r="24" spans="2:18" x14ac:dyDescent="0.3">
      <c r="B24" s="34" t="s">
        <v>487</v>
      </c>
      <c r="C24" s="15">
        <f>_xlfn.MODE.SNGL(Tabela1[Yearly bonus + stocks in EUR])</f>
        <v>0</v>
      </c>
      <c r="R24" s="4">
        <v>100000</v>
      </c>
    </row>
    <row r="25" spans="2:18" x14ac:dyDescent="0.3">
      <c r="B25" s="20" t="s">
        <v>482</v>
      </c>
      <c r="C25" s="79">
        <f>AVERAGE(Tabela1[Yearly bonus + stocks in EUR])</f>
        <v>19658.225883069426</v>
      </c>
      <c r="R25" s="3">
        <v>100000</v>
      </c>
    </row>
    <row r="26" spans="2:18" x14ac:dyDescent="0.3">
      <c r="B26" s="20" t="s">
        <v>483</v>
      </c>
      <c r="C26" s="79">
        <f>MEDIAN(Tabela1[Yearly bonus + stocks in EUR])</f>
        <v>5000</v>
      </c>
      <c r="R26" s="4">
        <v>100000</v>
      </c>
    </row>
    <row r="27" spans="2:18" x14ac:dyDescent="0.3">
      <c r="B27" s="20" t="s">
        <v>484</v>
      </c>
      <c r="C27" s="79">
        <f>_xlfn.VAR.P(Tabela1[Yearly bonus + stocks in EUR])</f>
        <v>1088637872.4053948</v>
      </c>
      <c r="R27" s="3">
        <v>100000</v>
      </c>
    </row>
    <row r="28" spans="2:18" x14ac:dyDescent="0.3">
      <c r="B28" s="20" t="s">
        <v>485</v>
      </c>
      <c r="C28" s="79">
        <f>_xlfn.STDEV.P(Tabela1[Yearly bonus + stocks in EUR])</f>
        <v>32994.512762054765</v>
      </c>
      <c r="R28" s="4">
        <v>100000</v>
      </c>
    </row>
    <row r="29" spans="2:18" x14ac:dyDescent="0.3">
      <c r="B29" s="18" t="s">
        <v>486</v>
      </c>
      <c r="C29" s="80">
        <f>AVEDEV(Tabela1[Yearly bonus + stocks in EUR])</f>
        <v>23451.503314100901</v>
      </c>
      <c r="R29" s="3">
        <v>100000</v>
      </c>
    </row>
    <row r="30" spans="2:18" x14ac:dyDescent="0.3">
      <c r="R30" s="4">
        <v>100000</v>
      </c>
    </row>
    <row r="31" spans="2:18" x14ac:dyDescent="0.3">
      <c r="R31" s="3">
        <v>99000</v>
      </c>
    </row>
    <row r="32" spans="2:18" x14ac:dyDescent="0.3">
      <c r="R32" s="4">
        <v>99000</v>
      </c>
    </row>
    <row r="33" spans="18:18" x14ac:dyDescent="0.3">
      <c r="R33" s="3">
        <v>97000</v>
      </c>
    </row>
    <row r="34" spans="18:18" x14ac:dyDescent="0.3">
      <c r="R34" s="4">
        <v>96000</v>
      </c>
    </row>
    <row r="35" spans="18:18" x14ac:dyDescent="0.3">
      <c r="R35" s="3">
        <v>95000</v>
      </c>
    </row>
    <row r="36" spans="18:18" x14ac:dyDescent="0.3">
      <c r="R36" s="4">
        <v>95000</v>
      </c>
    </row>
    <row r="37" spans="18:18" x14ac:dyDescent="0.3">
      <c r="R37" s="3">
        <v>95000</v>
      </c>
    </row>
    <row r="38" spans="18:18" x14ac:dyDescent="0.3">
      <c r="R38" s="4">
        <v>95000</v>
      </c>
    </row>
    <row r="39" spans="18:18" x14ac:dyDescent="0.3">
      <c r="R39" s="3">
        <v>92000</v>
      </c>
    </row>
    <row r="40" spans="18:18" x14ac:dyDescent="0.3">
      <c r="R40" s="4">
        <v>90000</v>
      </c>
    </row>
    <row r="41" spans="18:18" x14ac:dyDescent="0.3">
      <c r="R41" s="3">
        <v>90000</v>
      </c>
    </row>
    <row r="42" spans="18:18" x14ac:dyDescent="0.3">
      <c r="R42" s="4">
        <v>90000</v>
      </c>
    </row>
    <row r="43" spans="18:18" x14ac:dyDescent="0.3">
      <c r="R43" s="3">
        <v>90000</v>
      </c>
    </row>
    <row r="44" spans="18:18" x14ac:dyDescent="0.3">
      <c r="R44" s="4">
        <v>89000</v>
      </c>
    </row>
    <row r="45" spans="18:18" x14ac:dyDescent="0.3">
      <c r="R45" s="3">
        <v>88000</v>
      </c>
    </row>
    <row r="46" spans="18:18" x14ac:dyDescent="0.3">
      <c r="R46" s="4">
        <v>87250</v>
      </c>
    </row>
    <row r="47" spans="18:18" x14ac:dyDescent="0.3">
      <c r="R47" s="3">
        <v>86000</v>
      </c>
    </row>
    <row r="48" spans="18:18" x14ac:dyDescent="0.3">
      <c r="R48" s="4">
        <v>85000</v>
      </c>
    </row>
    <row r="49" spans="18:18" x14ac:dyDescent="0.3">
      <c r="R49" s="3">
        <v>85000</v>
      </c>
    </row>
    <row r="50" spans="18:18" x14ac:dyDescent="0.3">
      <c r="R50" s="4">
        <v>85000</v>
      </c>
    </row>
    <row r="51" spans="18:18" x14ac:dyDescent="0.3">
      <c r="R51" s="3">
        <v>84000</v>
      </c>
    </row>
    <row r="52" spans="18:18" x14ac:dyDescent="0.3">
      <c r="R52" s="4">
        <v>82500</v>
      </c>
    </row>
    <row r="53" spans="18:18" x14ac:dyDescent="0.3">
      <c r="R53" s="3">
        <v>82000</v>
      </c>
    </row>
    <row r="54" spans="18:18" x14ac:dyDescent="0.3">
      <c r="R54" s="4">
        <v>81200</v>
      </c>
    </row>
    <row r="55" spans="18:18" x14ac:dyDescent="0.3">
      <c r="R55" s="3">
        <v>80400</v>
      </c>
    </row>
    <row r="56" spans="18:18" x14ac:dyDescent="0.3">
      <c r="R56" s="4">
        <v>80000</v>
      </c>
    </row>
    <row r="57" spans="18:18" x14ac:dyDescent="0.3">
      <c r="R57" s="3">
        <v>80000</v>
      </c>
    </row>
    <row r="58" spans="18:18" x14ac:dyDescent="0.3">
      <c r="R58" s="4">
        <v>80000</v>
      </c>
    </row>
    <row r="59" spans="18:18" x14ac:dyDescent="0.3">
      <c r="R59" s="3">
        <v>80000</v>
      </c>
    </row>
    <row r="60" spans="18:18" x14ac:dyDescent="0.3">
      <c r="R60" s="4">
        <v>80000</v>
      </c>
    </row>
    <row r="61" spans="18:18" x14ac:dyDescent="0.3">
      <c r="R61" s="3">
        <v>80000</v>
      </c>
    </row>
    <row r="62" spans="18:18" x14ac:dyDescent="0.3">
      <c r="R62" s="4">
        <v>78000</v>
      </c>
    </row>
    <row r="63" spans="18:18" x14ac:dyDescent="0.3">
      <c r="R63" s="3">
        <v>78000</v>
      </c>
    </row>
    <row r="64" spans="18:18" x14ac:dyDescent="0.3">
      <c r="R64" s="4">
        <v>77400</v>
      </c>
    </row>
    <row r="65" spans="18:18" x14ac:dyDescent="0.3">
      <c r="R65" s="3">
        <v>77000</v>
      </c>
    </row>
    <row r="66" spans="18:18" x14ac:dyDescent="0.3">
      <c r="R66" s="4">
        <v>77000</v>
      </c>
    </row>
    <row r="67" spans="18:18" x14ac:dyDescent="0.3">
      <c r="R67" s="3">
        <v>77000</v>
      </c>
    </row>
    <row r="68" spans="18:18" x14ac:dyDescent="0.3">
      <c r="R68" s="4">
        <v>77000</v>
      </c>
    </row>
    <row r="69" spans="18:18" x14ac:dyDescent="0.3">
      <c r="R69" s="3">
        <v>75000</v>
      </c>
    </row>
    <row r="70" spans="18:18" x14ac:dyDescent="0.3">
      <c r="R70" s="4">
        <v>75000</v>
      </c>
    </row>
    <row r="71" spans="18:18" x14ac:dyDescent="0.3">
      <c r="R71" s="3">
        <v>75000</v>
      </c>
    </row>
    <row r="72" spans="18:18" x14ac:dyDescent="0.3">
      <c r="R72" s="4">
        <v>75000</v>
      </c>
    </row>
    <row r="73" spans="18:18" x14ac:dyDescent="0.3">
      <c r="R73" s="3">
        <v>75000</v>
      </c>
    </row>
    <row r="74" spans="18:18" x14ac:dyDescent="0.3">
      <c r="R74" s="4">
        <v>75000</v>
      </c>
    </row>
    <row r="75" spans="18:18" x14ac:dyDescent="0.3">
      <c r="R75" s="3">
        <v>75000</v>
      </c>
    </row>
    <row r="76" spans="18:18" x14ac:dyDescent="0.3">
      <c r="R76" s="4">
        <v>75000</v>
      </c>
    </row>
    <row r="77" spans="18:18" x14ac:dyDescent="0.3">
      <c r="R77" s="3">
        <v>75000</v>
      </c>
    </row>
    <row r="78" spans="18:18" x14ac:dyDescent="0.3">
      <c r="R78" s="4">
        <v>75000</v>
      </c>
    </row>
    <row r="79" spans="18:18" x14ac:dyDescent="0.3">
      <c r="R79" s="3">
        <v>75000</v>
      </c>
    </row>
    <row r="80" spans="18:18" x14ac:dyDescent="0.3">
      <c r="R80" s="4">
        <v>74000</v>
      </c>
    </row>
    <row r="81" spans="18:18" x14ac:dyDescent="0.3">
      <c r="R81" s="3">
        <v>73000</v>
      </c>
    </row>
    <row r="82" spans="18:18" x14ac:dyDescent="0.3">
      <c r="R82" s="4">
        <v>73000</v>
      </c>
    </row>
    <row r="83" spans="18:18" x14ac:dyDescent="0.3">
      <c r="R83" s="3">
        <v>73000</v>
      </c>
    </row>
    <row r="84" spans="18:18" x14ac:dyDescent="0.3">
      <c r="R84" s="4">
        <v>72000</v>
      </c>
    </row>
    <row r="85" spans="18:18" x14ac:dyDescent="0.3">
      <c r="R85" s="3">
        <v>72000</v>
      </c>
    </row>
    <row r="86" spans="18:18" x14ac:dyDescent="0.3">
      <c r="R86" s="4">
        <v>71000</v>
      </c>
    </row>
    <row r="87" spans="18:18" x14ac:dyDescent="0.3">
      <c r="R87" s="3">
        <v>70500</v>
      </c>
    </row>
    <row r="88" spans="18:18" x14ac:dyDescent="0.3">
      <c r="R88" s="4">
        <v>70000</v>
      </c>
    </row>
    <row r="89" spans="18:18" x14ac:dyDescent="0.3">
      <c r="R89" s="3">
        <v>70000</v>
      </c>
    </row>
    <row r="90" spans="18:18" x14ac:dyDescent="0.3">
      <c r="R90" s="4">
        <v>70000</v>
      </c>
    </row>
    <row r="91" spans="18:18" x14ac:dyDescent="0.3">
      <c r="R91" s="3">
        <v>70000</v>
      </c>
    </row>
    <row r="92" spans="18:18" x14ac:dyDescent="0.3">
      <c r="R92" s="4">
        <v>70000</v>
      </c>
    </row>
    <row r="93" spans="18:18" x14ac:dyDescent="0.3">
      <c r="R93" s="3">
        <v>70000</v>
      </c>
    </row>
    <row r="94" spans="18:18" x14ac:dyDescent="0.3">
      <c r="R94" s="4">
        <v>70000</v>
      </c>
    </row>
    <row r="95" spans="18:18" x14ac:dyDescent="0.3">
      <c r="R95" s="3">
        <v>70000</v>
      </c>
    </row>
    <row r="96" spans="18:18" x14ac:dyDescent="0.3">
      <c r="R96" s="4">
        <v>70000</v>
      </c>
    </row>
    <row r="97" spans="18:18" x14ac:dyDescent="0.3">
      <c r="R97" s="3">
        <v>70000</v>
      </c>
    </row>
    <row r="98" spans="18:18" x14ac:dyDescent="0.3">
      <c r="R98" s="4">
        <v>70000</v>
      </c>
    </row>
    <row r="99" spans="18:18" x14ac:dyDescent="0.3">
      <c r="R99" s="3">
        <v>67000</v>
      </c>
    </row>
    <row r="100" spans="18:18" x14ac:dyDescent="0.3">
      <c r="R100" s="4">
        <v>66500</v>
      </c>
    </row>
    <row r="101" spans="18:18" x14ac:dyDescent="0.3">
      <c r="R101" s="3">
        <v>66447</v>
      </c>
    </row>
    <row r="102" spans="18:18" x14ac:dyDescent="0.3">
      <c r="R102" s="4">
        <v>65000</v>
      </c>
    </row>
    <row r="103" spans="18:18" x14ac:dyDescent="0.3">
      <c r="R103" s="3">
        <v>65000</v>
      </c>
    </row>
    <row r="104" spans="18:18" x14ac:dyDescent="0.3">
      <c r="R104" s="4">
        <v>65000</v>
      </c>
    </row>
    <row r="105" spans="18:18" x14ac:dyDescent="0.3">
      <c r="R105" s="3">
        <v>65000</v>
      </c>
    </row>
    <row r="106" spans="18:18" x14ac:dyDescent="0.3">
      <c r="R106" s="4">
        <v>65000</v>
      </c>
    </row>
    <row r="107" spans="18:18" x14ac:dyDescent="0.3">
      <c r="R107" s="3">
        <v>63909</v>
      </c>
    </row>
    <row r="108" spans="18:18" x14ac:dyDescent="0.3">
      <c r="R108" s="4">
        <v>63500</v>
      </c>
    </row>
    <row r="109" spans="18:18" x14ac:dyDescent="0.3">
      <c r="R109" s="3">
        <v>63000</v>
      </c>
    </row>
    <row r="110" spans="18:18" x14ac:dyDescent="0.3">
      <c r="R110" s="4">
        <v>62000</v>
      </c>
    </row>
    <row r="111" spans="18:18" x14ac:dyDescent="0.3">
      <c r="R111" s="3">
        <v>62000</v>
      </c>
    </row>
    <row r="112" spans="18:18" x14ac:dyDescent="0.3">
      <c r="R112" s="4">
        <v>62000</v>
      </c>
    </row>
    <row r="113" spans="18:18" x14ac:dyDescent="0.3">
      <c r="R113" s="3">
        <v>60847.32</v>
      </c>
    </row>
    <row r="114" spans="18:18" x14ac:dyDescent="0.3">
      <c r="R114" s="4">
        <v>60000</v>
      </c>
    </row>
    <row r="115" spans="18:18" x14ac:dyDescent="0.3">
      <c r="R115" s="3">
        <v>60000</v>
      </c>
    </row>
    <row r="116" spans="18:18" x14ac:dyDescent="0.3">
      <c r="R116" s="4">
        <v>60000</v>
      </c>
    </row>
    <row r="117" spans="18:18" x14ac:dyDescent="0.3">
      <c r="R117" s="3">
        <v>60000</v>
      </c>
    </row>
    <row r="118" spans="18:18" x14ac:dyDescent="0.3">
      <c r="R118" s="4">
        <v>60000</v>
      </c>
    </row>
    <row r="119" spans="18:18" x14ac:dyDescent="0.3">
      <c r="R119" s="3">
        <v>60000</v>
      </c>
    </row>
    <row r="120" spans="18:18" x14ac:dyDescent="0.3">
      <c r="R120" s="4">
        <v>59000</v>
      </c>
    </row>
    <row r="121" spans="18:18" x14ac:dyDescent="0.3">
      <c r="R121" s="3">
        <v>58000</v>
      </c>
    </row>
    <row r="122" spans="18:18" x14ac:dyDescent="0.3">
      <c r="R122" s="4">
        <v>56000</v>
      </c>
    </row>
    <row r="123" spans="18:18" x14ac:dyDescent="0.3">
      <c r="R123" s="3">
        <v>56000</v>
      </c>
    </row>
    <row r="124" spans="18:18" x14ac:dyDescent="0.3">
      <c r="R124" s="4">
        <v>55000</v>
      </c>
    </row>
    <row r="125" spans="18:18" x14ac:dyDescent="0.3">
      <c r="R125" s="3">
        <v>55000</v>
      </c>
    </row>
    <row r="126" spans="18:18" x14ac:dyDescent="0.3">
      <c r="R126" s="4">
        <v>55000</v>
      </c>
    </row>
    <row r="127" spans="18:18" x14ac:dyDescent="0.3">
      <c r="R127" s="3">
        <v>55000</v>
      </c>
    </row>
    <row r="128" spans="18:18" x14ac:dyDescent="0.3">
      <c r="R128" s="4">
        <v>55000</v>
      </c>
    </row>
    <row r="129" spans="18:18" x14ac:dyDescent="0.3">
      <c r="R129" s="3">
        <v>54000</v>
      </c>
    </row>
    <row r="130" spans="18:18" x14ac:dyDescent="0.3">
      <c r="R130" s="4">
        <v>53500</v>
      </c>
    </row>
    <row r="131" spans="18:18" x14ac:dyDescent="0.3">
      <c r="R131" s="3">
        <v>50400</v>
      </c>
    </row>
    <row r="132" spans="18:18" x14ac:dyDescent="0.3">
      <c r="R132" s="4">
        <v>50000</v>
      </c>
    </row>
    <row r="133" spans="18:18" x14ac:dyDescent="0.3">
      <c r="R133" s="3">
        <v>50000</v>
      </c>
    </row>
    <row r="134" spans="18:18" x14ac:dyDescent="0.3">
      <c r="R134" s="4">
        <v>50000</v>
      </c>
    </row>
    <row r="135" spans="18:18" x14ac:dyDescent="0.3">
      <c r="R135" s="3">
        <v>50000</v>
      </c>
    </row>
    <row r="136" spans="18:18" x14ac:dyDescent="0.3">
      <c r="R136" s="4">
        <v>50000</v>
      </c>
    </row>
    <row r="137" spans="18:18" x14ac:dyDescent="0.3">
      <c r="R137" s="3">
        <v>50000</v>
      </c>
    </row>
    <row r="138" spans="18:18" x14ac:dyDescent="0.3">
      <c r="R138" s="4">
        <v>47500</v>
      </c>
    </row>
    <row r="139" spans="18:18" x14ac:dyDescent="0.3">
      <c r="R139" s="3">
        <v>46000</v>
      </c>
    </row>
    <row r="140" spans="18:18" x14ac:dyDescent="0.3">
      <c r="R140" s="4">
        <v>45600</v>
      </c>
    </row>
    <row r="141" spans="18:18" x14ac:dyDescent="0.3">
      <c r="R141" s="3">
        <v>45500</v>
      </c>
    </row>
    <row r="142" spans="18:18" x14ac:dyDescent="0.3">
      <c r="R142" s="4">
        <v>45000</v>
      </c>
    </row>
    <row r="143" spans="18:18" x14ac:dyDescent="0.3">
      <c r="R143" s="3">
        <v>45000</v>
      </c>
    </row>
    <row r="144" spans="18:18" x14ac:dyDescent="0.3">
      <c r="R144" s="4">
        <v>45000</v>
      </c>
    </row>
    <row r="145" spans="18:18" x14ac:dyDescent="0.3">
      <c r="R145" s="3">
        <v>45000</v>
      </c>
    </row>
    <row r="146" spans="18:18" x14ac:dyDescent="0.3">
      <c r="R146" s="4">
        <v>45000</v>
      </c>
    </row>
    <row r="147" spans="18:18" x14ac:dyDescent="0.3">
      <c r="R147" s="3">
        <v>43500</v>
      </c>
    </row>
    <row r="148" spans="18:18" x14ac:dyDescent="0.3">
      <c r="R148" s="4">
        <v>43000</v>
      </c>
    </row>
    <row r="149" spans="18:18" x14ac:dyDescent="0.3">
      <c r="R149" s="3">
        <v>40950</v>
      </c>
    </row>
    <row r="150" spans="18:18" x14ac:dyDescent="0.3">
      <c r="R150" s="4">
        <v>40000</v>
      </c>
    </row>
    <row r="151" spans="18:18" x14ac:dyDescent="0.3">
      <c r="R151" s="3">
        <v>40000</v>
      </c>
    </row>
    <row r="152" spans="18:18" x14ac:dyDescent="0.3">
      <c r="R152" s="4">
        <v>40000</v>
      </c>
    </row>
    <row r="153" spans="18:18" x14ac:dyDescent="0.3">
      <c r="R153" s="3">
        <v>40000</v>
      </c>
    </row>
    <row r="154" spans="18:18" x14ac:dyDescent="0.3">
      <c r="R154" s="4">
        <v>40000</v>
      </c>
    </row>
    <row r="155" spans="18:18" x14ac:dyDescent="0.3">
      <c r="R155" s="3">
        <v>40000</v>
      </c>
    </row>
    <row r="156" spans="18:18" x14ac:dyDescent="0.3">
      <c r="R156" s="4">
        <v>40000</v>
      </c>
    </row>
    <row r="157" spans="18:18" x14ac:dyDescent="0.3">
      <c r="R157" s="3">
        <v>38500</v>
      </c>
    </row>
    <row r="158" spans="18:18" x14ac:dyDescent="0.3">
      <c r="R158" s="4">
        <v>37968</v>
      </c>
    </row>
    <row r="159" spans="18:18" x14ac:dyDescent="0.3">
      <c r="R159" s="3">
        <v>36000</v>
      </c>
    </row>
    <row r="160" spans="18:18" x14ac:dyDescent="0.3">
      <c r="R160" s="4">
        <v>35200</v>
      </c>
    </row>
    <row r="161" spans="18:18" x14ac:dyDescent="0.3">
      <c r="R161" s="3">
        <v>35000</v>
      </c>
    </row>
    <row r="162" spans="18:18" x14ac:dyDescent="0.3">
      <c r="R162" s="4">
        <v>35000</v>
      </c>
    </row>
    <row r="163" spans="18:18" x14ac:dyDescent="0.3">
      <c r="R163" s="3">
        <v>35000</v>
      </c>
    </row>
    <row r="164" spans="18:18" x14ac:dyDescent="0.3">
      <c r="R164" s="4">
        <v>35000</v>
      </c>
    </row>
    <row r="165" spans="18:18" x14ac:dyDescent="0.3">
      <c r="R165" s="3">
        <v>32000</v>
      </c>
    </row>
    <row r="166" spans="18:18" x14ac:dyDescent="0.3">
      <c r="R166" s="4">
        <v>31500</v>
      </c>
    </row>
    <row r="167" spans="18:18" x14ac:dyDescent="0.3">
      <c r="R167" s="3">
        <v>30000</v>
      </c>
    </row>
    <row r="168" spans="18:18" x14ac:dyDescent="0.3">
      <c r="R168" s="4">
        <v>30000</v>
      </c>
    </row>
    <row r="169" spans="18:18" x14ac:dyDescent="0.3">
      <c r="R169" s="3">
        <v>30000</v>
      </c>
    </row>
    <row r="170" spans="18:18" x14ac:dyDescent="0.3">
      <c r="R170" s="4">
        <v>30000</v>
      </c>
    </row>
    <row r="171" spans="18:18" x14ac:dyDescent="0.3">
      <c r="R171" s="3">
        <v>30000</v>
      </c>
    </row>
    <row r="172" spans="18:18" x14ac:dyDescent="0.3">
      <c r="R172" s="4">
        <v>30000</v>
      </c>
    </row>
    <row r="173" spans="18:18" x14ac:dyDescent="0.3">
      <c r="R173" s="3">
        <v>30000</v>
      </c>
    </row>
    <row r="174" spans="18:18" x14ac:dyDescent="0.3">
      <c r="R174" s="4">
        <v>30000</v>
      </c>
    </row>
    <row r="175" spans="18:18" x14ac:dyDescent="0.3">
      <c r="R175" s="3">
        <v>28800</v>
      </c>
    </row>
    <row r="176" spans="18:18" x14ac:dyDescent="0.3">
      <c r="R176" s="4">
        <v>28000</v>
      </c>
    </row>
    <row r="177" spans="18:18" x14ac:dyDescent="0.3">
      <c r="R177" s="3">
        <v>26000</v>
      </c>
    </row>
    <row r="178" spans="18:18" x14ac:dyDescent="0.3">
      <c r="R178" s="4">
        <v>25000</v>
      </c>
    </row>
    <row r="179" spans="18:18" x14ac:dyDescent="0.3">
      <c r="R179" s="3">
        <v>25000</v>
      </c>
    </row>
    <row r="180" spans="18:18" x14ac:dyDescent="0.3">
      <c r="R180" s="4">
        <v>25000</v>
      </c>
    </row>
    <row r="181" spans="18:18" x14ac:dyDescent="0.3">
      <c r="R181" s="3">
        <v>25000</v>
      </c>
    </row>
    <row r="182" spans="18:18" x14ac:dyDescent="0.3">
      <c r="R182" s="4">
        <v>25000</v>
      </c>
    </row>
    <row r="183" spans="18:18" x14ac:dyDescent="0.3">
      <c r="R183" s="3">
        <v>25000</v>
      </c>
    </row>
    <row r="184" spans="18:18" x14ac:dyDescent="0.3">
      <c r="R184" s="4">
        <v>23000</v>
      </c>
    </row>
    <row r="185" spans="18:18" x14ac:dyDescent="0.3">
      <c r="R185" s="3">
        <v>22500</v>
      </c>
    </row>
    <row r="186" spans="18:18" x14ac:dyDescent="0.3">
      <c r="R186" s="4">
        <v>22000</v>
      </c>
    </row>
    <row r="187" spans="18:18" x14ac:dyDescent="0.3">
      <c r="R187" s="3">
        <v>21000</v>
      </c>
    </row>
    <row r="188" spans="18:18" x14ac:dyDescent="0.3">
      <c r="R188" s="4">
        <v>20700</v>
      </c>
    </row>
    <row r="189" spans="18:18" x14ac:dyDescent="0.3">
      <c r="R189" s="3">
        <v>20240</v>
      </c>
    </row>
    <row r="190" spans="18:18" x14ac:dyDescent="0.3">
      <c r="R190" s="4">
        <v>20000</v>
      </c>
    </row>
    <row r="191" spans="18:18" x14ac:dyDescent="0.3">
      <c r="R191" s="3">
        <v>20000</v>
      </c>
    </row>
    <row r="192" spans="18:18" x14ac:dyDescent="0.3">
      <c r="R192" s="4">
        <v>20000</v>
      </c>
    </row>
    <row r="193" spans="18:18" x14ac:dyDescent="0.3">
      <c r="R193" s="3">
        <v>20000</v>
      </c>
    </row>
    <row r="194" spans="18:18" x14ac:dyDescent="0.3">
      <c r="R194" s="4">
        <v>20000</v>
      </c>
    </row>
    <row r="195" spans="18:18" x14ac:dyDescent="0.3">
      <c r="R195" s="3">
        <v>20000</v>
      </c>
    </row>
    <row r="196" spans="18:18" x14ac:dyDescent="0.3">
      <c r="R196" s="4">
        <v>20000</v>
      </c>
    </row>
    <row r="197" spans="18:18" x14ac:dyDescent="0.3">
      <c r="R197" s="3">
        <v>20000</v>
      </c>
    </row>
    <row r="198" spans="18:18" x14ac:dyDescent="0.3">
      <c r="R198" s="4">
        <v>20000</v>
      </c>
    </row>
    <row r="199" spans="18:18" x14ac:dyDescent="0.3">
      <c r="R199" s="3">
        <v>20000</v>
      </c>
    </row>
    <row r="200" spans="18:18" x14ac:dyDescent="0.3">
      <c r="R200" s="4">
        <v>20000</v>
      </c>
    </row>
    <row r="201" spans="18:18" x14ac:dyDescent="0.3">
      <c r="R201" s="3">
        <v>20000</v>
      </c>
    </row>
    <row r="202" spans="18:18" x14ac:dyDescent="0.3">
      <c r="R202" s="4">
        <v>20000</v>
      </c>
    </row>
    <row r="203" spans="18:18" x14ac:dyDescent="0.3">
      <c r="R203" s="3">
        <v>20000</v>
      </c>
    </row>
    <row r="204" spans="18:18" x14ac:dyDescent="0.3">
      <c r="R204" s="4">
        <v>20000</v>
      </c>
    </row>
    <row r="205" spans="18:18" x14ac:dyDescent="0.3">
      <c r="R205" s="3">
        <v>20000</v>
      </c>
    </row>
    <row r="206" spans="18:18" x14ac:dyDescent="0.3">
      <c r="R206" s="4">
        <v>20000</v>
      </c>
    </row>
    <row r="207" spans="18:18" x14ac:dyDescent="0.3">
      <c r="R207" s="3">
        <v>20000</v>
      </c>
    </row>
    <row r="208" spans="18:18" x14ac:dyDescent="0.3">
      <c r="R208" s="4">
        <v>20000</v>
      </c>
    </row>
    <row r="209" spans="18:18" x14ac:dyDescent="0.3">
      <c r="R209" s="3">
        <v>20000</v>
      </c>
    </row>
    <row r="210" spans="18:18" x14ac:dyDescent="0.3">
      <c r="R210" s="4">
        <v>20000</v>
      </c>
    </row>
    <row r="211" spans="18:18" x14ac:dyDescent="0.3">
      <c r="R211" s="3">
        <v>19200</v>
      </c>
    </row>
    <row r="212" spans="18:18" x14ac:dyDescent="0.3">
      <c r="R212" s="4">
        <v>18000</v>
      </c>
    </row>
    <row r="213" spans="18:18" x14ac:dyDescent="0.3">
      <c r="R213" s="3">
        <v>18000</v>
      </c>
    </row>
    <row r="214" spans="18:18" x14ac:dyDescent="0.3">
      <c r="R214" s="4">
        <v>18000</v>
      </c>
    </row>
    <row r="215" spans="18:18" x14ac:dyDescent="0.3">
      <c r="R215" s="3">
        <v>18000</v>
      </c>
    </row>
    <row r="216" spans="18:18" x14ac:dyDescent="0.3">
      <c r="R216" s="4">
        <v>17800</v>
      </c>
    </row>
    <row r="217" spans="18:18" x14ac:dyDescent="0.3">
      <c r="R217" s="3">
        <v>17000</v>
      </c>
    </row>
    <row r="218" spans="18:18" x14ac:dyDescent="0.3">
      <c r="R218" s="4">
        <v>17000</v>
      </c>
    </row>
    <row r="219" spans="18:18" x14ac:dyDescent="0.3">
      <c r="R219" s="3">
        <v>17000</v>
      </c>
    </row>
    <row r="220" spans="18:18" x14ac:dyDescent="0.3">
      <c r="R220" s="4">
        <v>16320</v>
      </c>
    </row>
    <row r="221" spans="18:18" x14ac:dyDescent="0.3">
      <c r="R221" s="3">
        <v>16000</v>
      </c>
    </row>
    <row r="222" spans="18:18" x14ac:dyDescent="0.3">
      <c r="R222" s="4">
        <v>16000</v>
      </c>
    </row>
    <row r="223" spans="18:18" x14ac:dyDescent="0.3">
      <c r="R223" s="3">
        <v>15900</v>
      </c>
    </row>
    <row r="224" spans="18:18" x14ac:dyDescent="0.3">
      <c r="R224" s="4">
        <v>15900</v>
      </c>
    </row>
    <row r="225" spans="18:18" x14ac:dyDescent="0.3">
      <c r="R225" s="3">
        <v>15000</v>
      </c>
    </row>
    <row r="226" spans="18:18" x14ac:dyDescent="0.3">
      <c r="R226" s="4">
        <v>15000</v>
      </c>
    </row>
    <row r="227" spans="18:18" x14ac:dyDescent="0.3">
      <c r="R227" s="3">
        <v>15000</v>
      </c>
    </row>
    <row r="228" spans="18:18" x14ac:dyDescent="0.3">
      <c r="R228" s="4">
        <v>15000</v>
      </c>
    </row>
    <row r="229" spans="18:18" x14ac:dyDescent="0.3">
      <c r="R229" s="3">
        <v>15000</v>
      </c>
    </row>
    <row r="230" spans="18:18" x14ac:dyDescent="0.3">
      <c r="R230" s="4">
        <v>15000</v>
      </c>
    </row>
    <row r="231" spans="18:18" x14ac:dyDescent="0.3">
      <c r="R231" s="3">
        <v>15000</v>
      </c>
    </row>
    <row r="232" spans="18:18" x14ac:dyDescent="0.3">
      <c r="R232" s="4">
        <v>15000</v>
      </c>
    </row>
    <row r="233" spans="18:18" x14ac:dyDescent="0.3">
      <c r="R233" s="3">
        <v>15000</v>
      </c>
    </row>
    <row r="234" spans="18:18" x14ac:dyDescent="0.3">
      <c r="R234" s="4">
        <v>15000</v>
      </c>
    </row>
    <row r="235" spans="18:18" x14ac:dyDescent="0.3">
      <c r="R235" s="3">
        <v>15000</v>
      </c>
    </row>
    <row r="236" spans="18:18" x14ac:dyDescent="0.3">
      <c r="R236" s="4">
        <v>15000</v>
      </c>
    </row>
    <row r="237" spans="18:18" x14ac:dyDescent="0.3">
      <c r="R237" s="3">
        <v>15000</v>
      </c>
    </row>
    <row r="238" spans="18:18" x14ac:dyDescent="0.3">
      <c r="R238" s="4">
        <v>15000</v>
      </c>
    </row>
    <row r="239" spans="18:18" x14ac:dyDescent="0.3">
      <c r="R239" s="3">
        <v>15000</v>
      </c>
    </row>
    <row r="240" spans="18:18" x14ac:dyDescent="0.3">
      <c r="R240" s="4">
        <v>15000</v>
      </c>
    </row>
    <row r="241" spans="18:18" x14ac:dyDescent="0.3">
      <c r="R241" s="3">
        <v>15000</v>
      </c>
    </row>
    <row r="242" spans="18:18" x14ac:dyDescent="0.3">
      <c r="R242" s="4">
        <v>14500</v>
      </c>
    </row>
    <row r="243" spans="18:18" x14ac:dyDescent="0.3">
      <c r="R243" s="3">
        <v>14000</v>
      </c>
    </row>
    <row r="244" spans="18:18" x14ac:dyDescent="0.3">
      <c r="R244" s="4">
        <v>14000</v>
      </c>
    </row>
    <row r="245" spans="18:18" x14ac:dyDescent="0.3">
      <c r="R245" s="3">
        <v>13500</v>
      </c>
    </row>
    <row r="246" spans="18:18" x14ac:dyDescent="0.3">
      <c r="R246" s="4">
        <v>13000</v>
      </c>
    </row>
    <row r="247" spans="18:18" x14ac:dyDescent="0.3">
      <c r="R247" s="3">
        <v>13000</v>
      </c>
    </row>
    <row r="248" spans="18:18" x14ac:dyDescent="0.3">
      <c r="R248" s="4">
        <v>12500</v>
      </c>
    </row>
    <row r="249" spans="18:18" x14ac:dyDescent="0.3">
      <c r="R249" s="3">
        <v>12150</v>
      </c>
    </row>
    <row r="250" spans="18:18" x14ac:dyDescent="0.3">
      <c r="R250" s="4">
        <v>12000</v>
      </c>
    </row>
    <row r="251" spans="18:18" x14ac:dyDescent="0.3">
      <c r="R251" s="3">
        <v>12000</v>
      </c>
    </row>
    <row r="252" spans="18:18" x14ac:dyDescent="0.3">
      <c r="R252" s="4">
        <v>12000</v>
      </c>
    </row>
    <row r="253" spans="18:18" x14ac:dyDescent="0.3">
      <c r="R253" s="3">
        <v>12000</v>
      </c>
    </row>
    <row r="254" spans="18:18" x14ac:dyDescent="0.3">
      <c r="R254" s="4">
        <v>12000</v>
      </c>
    </row>
    <row r="255" spans="18:18" x14ac:dyDescent="0.3">
      <c r="R255" s="3">
        <v>12000</v>
      </c>
    </row>
    <row r="256" spans="18:18" x14ac:dyDescent="0.3">
      <c r="R256" s="4">
        <v>12000</v>
      </c>
    </row>
    <row r="257" spans="18:18" x14ac:dyDescent="0.3">
      <c r="R257" s="3">
        <v>12000</v>
      </c>
    </row>
    <row r="258" spans="18:18" x14ac:dyDescent="0.3">
      <c r="R258" s="4">
        <v>12000</v>
      </c>
    </row>
    <row r="259" spans="18:18" x14ac:dyDescent="0.3">
      <c r="R259" s="3">
        <v>12000</v>
      </c>
    </row>
    <row r="260" spans="18:18" x14ac:dyDescent="0.3">
      <c r="R260" s="4">
        <v>12000</v>
      </c>
    </row>
    <row r="261" spans="18:18" x14ac:dyDescent="0.3">
      <c r="R261" s="3">
        <v>11900</v>
      </c>
    </row>
    <row r="262" spans="18:18" x14ac:dyDescent="0.3">
      <c r="R262" s="4">
        <v>11000</v>
      </c>
    </row>
    <row r="263" spans="18:18" x14ac:dyDescent="0.3">
      <c r="R263" s="3">
        <v>11000</v>
      </c>
    </row>
    <row r="264" spans="18:18" x14ac:dyDescent="0.3">
      <c r="R264" s="4">
        <v>11000</v>
      </c>
    </row>
    <row r="265" spans="18:18" x14ac:dyDescent="0.3">
      <c r="R265" s="3">
        <v>11000</v>
      </c>
    </row>
    <row r="266" spans="18:18" x14ac:dyDescent="0.3">
      <c r="R266" s="4">
        <v>10300</v>
      </c>
    </row>
    <row r="267" spans="18:18" x14ac:dyDescent="0.3">
      <c r="R267" s="3">
        <v>10000</v>
      </c>
    </row>
    <row r="268" spans="18:18" x14ac:dyDescent="0.3">
      <c r="R268" s="4">
        <v>10000</v>
      </c>
    </row>
    <row r="269" spans="18:18" x14ac:dyDescent="0.3">
      <c r="R269" s="3">
        <v>10000</v>
      </c>
    </row>
    <row r="270" spans="18:18" x14ac:dyDescent="0.3">
      <c r="R270" s="4">
        <v>10000</v>
      </c>
    </row>
    <row r="271" spans="18:18" x14ac:dyDescent="0.3">
      <c r="R271" s="3">
        <v>10000</v>
      </c>
    </row>
    <row r="272" spans="18:18" x14ac:dyDescent="0.3">
      <c r="R272" s="4">
        <v>10000</v>
      </c>
    </row>
    <row r="273" spans="18:18" x14ac:dyDescent="0.3">
      <c r="R273" s="3">
        <v>10000</v>
      </c>
    </row>
    <row r="274" spans="18:18" x14ac:dyDescent="0.3">
      <c r="R274" s="4">
        <v>10000</v>
      </c>
    </row>
    <row r="275" spans="18:18" x14ac:dyDescent="0.3">
      <c r="R275" s="3">
        <v>10000</v>
      </c>
    </row>
    <row r="276" spans="18:18" x14ac:dyDescent="0.3">
      <c r="R276" s="4">
        <v>10000</v>
      </c>
    </row>
    <row r="277" spans="18:18" x14ac:dyDescent="0.3">
      <c r="R277" s="3">
        <v>10000</v>
      </c>
    </row>
    <row r="278" spans="18:18" x14ac:dyDescent="0.3">
      <c r="R278" s="4">
        <v>10000</v>
      </c>
    </row>
    <row r="279" spans="18:18" x14ac:dyDescent="0.3">
      <c r="R279" s="3">
        <v>10000</v>
      </c>
    </row>
    <row r="280" spans="18:18" x14ac:dyDescent="0.3">
      <c r="R280" s="4">
        <v>10000</v>
      </c>
    </row>
    <row r="281" spans="18:18" x14ac:dyDescent="0.3">
      <c r="R281" s="3">
        <v>10000</v>
      </c>
    </row>
    <row r="282" spans="18:18" x14ac:dyDescent="0.3">
      <c r="R282" s="4">
        <v>10000</v>
      </c>
    </row>
    <row r="283" spans="18:18" x14ac:dyDescent="0.3">
      <c r="R283" s="3">
        <v>10000</v>
      </c>
    </row>
    <row r="284" spans="18:18" x14ac:dyDescent="0.3">
      <c r="R284" s="4">
        <v>10000</v>
      </c>
    </row>
    <row r="285" spans="18:18" x14ac:dyDescent="0.3">
      <c r="R285" s="3">
        <v>10000</v>
      </c>
    </row>
    <row r="286" spans="18:18" x14ac:dyDescent="0.3">
      <c r="R286" s="4">
        <v>10000</v>
      </c>
    </row>
    <row r="287" spans="18:18" x14ac:dyDescent="0.3">
      <c r="R287" s="3">
        <v>10000</v>
      </c>
    </row>
    <row r="288" spans="18:18" x14ac:dyDescent="0.3">
      <c r="R288" s="4">
        <v>10000</v>
      </c>
    </row>
    <row r="289" spans="18:18" x14ac:dyDescent="0.3">
      <c r="R289" s="3">
        <v>10000</v>
      </c>
    </row>
    <row r="290" spans="18:18" x14ac:dyDescent="0.3">
      <c r="R290" s="4">
        <v>10000</v>
      </c>
    </row>
    <row r="291" spans="18:18" x14ac:dyDescent="0.3">
      <c r="R291" s="3">
        <v>10000</v>
      </c>
    </row>
    <row r="292" spans="18:18" x14ac:dyDescent="0.3">
      <c r="R292" s="4">
        <v>10000</v>
      </c>
    </row>
    <row r="293" spans="18:18" x14ac:dyDescent="0.3">
      <c r="R293" s="3">
        <v>10000</v>
      </c>
    </row>
    <row r="294" spans="18:18" x14ac:dyDescent="0.3">
      <c r="R294" s="4">
        <v>10000</v>
      </c>
    </row>
    <row r="295" spans="18:18" x14ac:dyDescent="0.3">
      <c r="R295" s="3">
        <v>10000</v>
      </c>
    </row>
    <row r="296" spans="18:18" x14ac:dyDescent="0.3">
      <c r="R296" s="4">
        <v>10000</v>
      </c>
    </row>
    <row r="297" spans="18:18" x14ac:dyDescent="0.3">
      <c r="R297" s="3">
        <v>10000</v>
      </c>
    </row>
    <row r="298" spans="18:18" x14ac:dyDescent="0.3">
      <c r="R298" s="4">
        <v>10000</v>
      </c>
    </row>
    <row r="299" spans="18:18" x14ac:dyDescent="0.3">
      <c r="R299" s="3">
        <v>10000</v>
      </c>
    </row>
    <row r="300" spans="18:18" x14ac:dyDescent="0.3">
      <c r="R300" s="4">
        <v>10000</v>
      </c>
    </row>
    <row r="301" spans="18:18" x14ac:dyDescent="0.3">
      <c r="R301" s="3">
        <v>10000</v>
      </c>
    </row>
    <row r="302" spans="18:18" x14ac:dyDescent="0.3">
      <c r="R302" s="4">
        <v>10000</v>
      </c>
    </row>
    <row r="303" spans="18:18" x14ac:dyDescent="0.3">
      <c r="R303" s="3">
        <v>10000</v>
      </c>
    </row>
    <row r="304" spans="18:18" x14ac:dyDescent="0.3">
      <c r="R304" s="4">
        <v>10000</v>
      </c>
    </row>
    <row r="305" spans="18:18" x14ac:dyDescent="0.3">
      <c r="R305" s="3">
        <v>10000</v>
      </c>
    </row>
    <row r="306" spans="18:18" x14ac:dyDescent="0.3">
      <c r="R306" s="4">
        <v>10000</v>
      </c>
    </row>
    <row r="307" spans="18:18" x14ac:dyDescent="0.3">
      <c r="R307" s="3">
        <v>10000</v>
      </c>
    </row>
    <row r="308" spans="18:18" x14ac:dyDescent="0.3">
      <c r="R308" s="4">
        <v>10000</v>
      </c>
    </row>
    <row r="309" spans="18:18" x14ac:dyDescent="0.3">
      <c r="R309" s="3">
        <v>10000</v>
      </c>
    </row>
    <row r="310" spans="18:18" x14ac:dyDescent="0.3">
      <c r="R310" s="4">
        <v>10000</v>
      </c>
    </row>
    <row r="311" spans="18:18" x14ac:dyDescent="0.3">
      <c r="R311" s="3">
        <v>10000</v>
      </c>
    </row>
    <row r="312" spans="18:18" x14ac:dyDescent="0.3">
      <c r="R312" s="4">
        <v>9450</v>
      </c>
    </row>
    <row r="313" spans="18:18" x14ac:dyDescent="0.3">
      <c r="R313" s="3">
        <v>9400</v>
      </c>
    </row>
    <row r="314" spans="18:18" x14ac:dyDescent="0.3">
      <c r="R314" s="4">
        <v>9000</v>
      </c>
    </row>
    <row r="315" spans="18:18" x14ac:dyDescent="0.3">
      <c r="R315" s="3">
        <v>9000</v>
      </c>
    </row>
    <row r="316" spans="18:18" x14ac:dyDescent="0.3">
      <c r="R316" s="4">
        <v>9000</v>
      </c>
    </row>
    <row r="317" spans="18:18" x14ac:dyDescent="0.3">
      <c r="R317" s="3">
        <v>9000</v>
      </c>
    </row>
    <row r="318" spans="18:18" x14ac:dyDescent="0.3">
      <c r="R318" s="4">
        <v>8500</v>
      </c>
    </row>
    <row r="319" spans="18:18" x14ac:dyDescent="0.3">
      <c r="R319" s="3">
        <v>8000</v>
      </c>
    </row>
    <row r="320" spans="18:18" x14ac:dyDescent="0.3">
      <c r="R320" s="4">
        <v>8000</v>
      </c>
    </row>
    <row r="321" spans="18:18" x14ac:dyDescent="0.3">
      <c r="R321" s="3">
        <v>8000</v>
      </c>
    </row>
    <row r="322" spans="18:18" x14ac:dyDescent="0.3">
      <c r="R322" s="4">
        <v>8000</v>
      </c>
    </row>
    <row r="323" spans="18:18" x14ac:dyDescent="0.3">
      <c r="R323" s="3">
        <v>8000</v>
      </c>
    </row>
    <row r="324" spans="18:18" x14ac:dyDescent="0.3">
      <c r="R324" s="4">
        <v>8000</v>
      </c>
    </row>
    <row r="325" spans="18:18" x14ac:dyDescent="0.3">
      <c r="R325" s="3">
        <v>8000</v>
      </c>
    </row>
    <row r="326" spans="18:18" x14ac:dyDescent="0.3">
      <c r="R326" s="4">
        <v>8000</v>
      </c>
    </row>
    <row r="327" spans="18:18" x14ac:dyDescent="0.3">
      <c r="R327" s="3">
        <v>8000</v>
      </c>
    </row>
    <row r="328" spans="18:18" x14ac:dyDescent="0.3">
      <c r="R328" s="4">
        <v>8000</v>
      </c>
    </row>
    <row r="329" spans="18:18" x14ac:dyDescent="0.3">
      <c r="R329" s="3">
        <v>8000</v>
      </c>
    </row>
    <row r="330" spans="18:18" x14ac:dyDescent="0.3">
      <c r="R330" s="4">
        <v>8000</v>
      </c>
    </row>
    <row r="331" spans="18:18" x14ac:dyDescent="0.3">
      <c r="R331" s="3">
        <v>8000</v>
      </c>
    </row>
    <row r="332" spans="18:18" x14ac:dyDescent="0.3">
      <c r="R332" s="4">
        <v>7750</v>
      </c>
    </row>
    <row r="333" spans="18:18" x14ac:dyDescent="0.3">
      <c r="R333" s="3">
        <v>7500</v>
      </c>
    </row>
    <row r="334" spans="18:18" x14ac:dyDescent="0.3">
      <c r="R334" s="4">
        <v>7500</v>
      </c>
    </row>
    <row r="335" spans="18:18" x14ac:dyDescent="0.3">
      <c r="R335" s="3">
        <v>7500</v>
      </c>
    </row>
    <row r="336" spans="18:18" x14ac:dyDescent="0.3">
      <c r="R336" s="4">
        <v>7500</v>
      </c>
    </row>
    <row r="337" spans="18:18" x14ac:dyDescent="0.3">
      <c r="R337" s="3">
        <v>7500</v>
      </c>
    </row>
    <row r="338" spans="18:18" x14ac:dyDescent="0.3">
      <c r="R338" s="4">
        <v>7300</v>
      </c>
    </row>
    <row r="339" spans="18:18" x14ac:dyDescent="0.3">
      <c r="R339" s="3">
        <v>7200</v>
      </c>
    </row>
    <row r="340" spans="18:18" x14ac:dyDescent="0.3">
      <c r="R340" s="4">
        <v>7100</v>
      </c>
    </row>
    <row r="341" spans="18:18" x14ac:dyDescent="0.3">
      <c r="R341" s="3">
        <v>7000</v>
      </c>
    </row>
    <row r="342" spans="18:18" x14ac:dyDescent="0.3">
      <c r="R342" s="4">
        <v>7000</v>
      </c>
    </row>
    <row r="343" spans="18:18" x14ac:dyDescent="0.3">
      <c r="R343" s="3">
        <v>7000</v>
      </c>
    </row>
    <row r="344" spans="18:18" x14ac:dyDescent="0.3">
      <c r="R344" s="4">
        <v>7000</v>
      </c>
    </row>
    <row r="345" spans="18:18" x14ac:dyDescent="0.3">
      <c r="R345" s="3">
        <v>7000</v>
      </c>
    </row>
    <row r="346" spans="18:18" x14ac:dyDescent="0.3">
      <c r="R346" s="4">
        <v>7000</v>
      </c>
    </row>
    <row r="347" spans="18:18" x14ac:dyDescent="0.3">
      <c r="R347" s="3">
        <v>7000</v>
      </c>
    </row>
    <row r="348" spans="18:18" x14ac:dyDescent="0.3">
      <c r="R348" s="4">
        <v>7000</v>
      </c>
    </row>
    <row r="349" spans="18:18" x14ac:dyDescent="0.3">
      <c r="R349" s="3">
        <v>7000</v>
      </c>
    </row>
    <row r="350" spans="18:18" x14ac:dyDescent="0.3">
      <c r="R350" s="4">
        <v>7000</v>
      </c>
    </row>
    <row r="351" spans="18:18" x14ac:dyDescent="0.3">
      <c r="R351" s="3">
        <v>7000</v>
      </c>
    </row>
    <row r="352" spans="18:18" x14ac:dyDescent="0.3">
      <c r="R352" s="4">
        <v>7000</v>
      </c>
    </row>
    <row r="353" spans="18:18" x14ac:dyDescent="0.3">
      <c r="R353" s="3">
        <v>7000</v>
      </c>
    </row>
    <row r="354" spans="18:18" x14ac:dyDescent="0.3">
      <c r="R354" s="4">
        <v>7000</v>
      </c>
    </row>
    <row r="355" spans="18:18" x14ac:dyDescent="0.3">
      <c r="R355" s="3">
        <v>7000</v>
      </c>
    </row>
    <row r="356" spans="18:18" x14ac:dyDescent="0.3">
      <c r="R356" s="4">
        <v>6900</v>
      </c>
    </row>
    <row r="357" spans="18:18" x14ac:dyDescent="0.3">
      <c r="R357" s="3">
        <v>6710</v>
      </c>
    </row>
    <row r="358" spans="18:18" x14ac:dyDescent="0.3">
      <c r="R358" s="4">
        <v>6500</v>
      </c>
    </row>
    <row r="359" spans="18:18" x14ac:dyDescent="0.3">
      <c r="R359" s="3">
        <v>6500</v>
      </c>
    </row>
    <row r="360" spans="18:18" x14ac:dyDescent="0.3">
      <c r="R360" s="4">
        <v>6300</v>
      </c>
    </row>
    <row r="361" spans="18:18" x14ac:dyDescent="0.3">
      <c r="R361" s="3">
        <v>6000</v>
      </c>
    </row>
    <row r="362" spans="18:18" x14ac:dyDescent="0.3">
      <c r="R362" s="4">
        <v>6000</v>
      </c>
    </row>
    <row r="363" spans="18:18" x14ac:dyDescent="0.3">
      <c r="R363" s="3">
        <v>6000</v>
      </c>
    </row>
    <row r="364" spans="18:18" x14ac:dyDescent="0.3">
      <c r="R364" s="4">
        <v>6000</v>
      </c>
    </row>
    <row r="365" spans="18:18" x14ac:dyDescent="0.3">
      <c r="R365" s="3">
        <v>6000</v>
      </c>
    </row>
    <row r="366" spans="18:18" x14ac:dyDescent="0.3">
      <c r="R366" s="4">
        <v>6000</v>
      </c>
    </row>
    <row r="367" spans="18:18" x14ac:dyDescent="0.3">
      <c r="R367" s="3">
        <v>6000</v>
      </c>
    </row>
    <row r="368" spans="18:18" x14ac:dyDescent="0.3">
      <c r="R368" s="4">
        <v>6000</v>
      </c>
    </row>
    <row r="369" spans="18:18" x14ac:dyDescent="0.3">
      <c r="R369" s="3">
        <v>6000</v>
      </c>
    </row>
    <row r="370" spans="18:18" x14ac:dyDescent="0.3">
      <c r="R370" s="4">
        <v>6000</v>
      </c>
    </row>
    <row r="371" spans="18:18" x14ac:dyDescent="0.3">
      <c r="R371" s="3">
        <v>6000</v>
      </c>
    </row>
    <row r="372" spans="18:18" x14ac:dyDescent="0.3">
      <c r="R372" s="4">
        <v>6000</v>
      </c>
    </row>
    <row r="373" spans="18:18" x14ac:dyDescent="0.3">
      <c r="R373" s="3">
        <v>6000</v>
      </c>
    </row>
    <row r="374" spans="18:18" x14ac:dyDescent="0.3">
      <c r="R374" s="4">
        <v>6000</v>
      </c>
    </row>
    <row r="375" spans="18:18" x14ac:dyDescent="0.3">
      <c r="R375" s="3">
        <v>6000</v>
      </c>
    </row>
    <row r="376" spans="18:18" x14ac:dyDescent="0.3">
      <c r="R376" s="4">
        <v>6000</v>
      </c>
    </row>
    <row r="377" spans="18:18" x14ac:dyDescent="0.3">
      <c r="R377" s="3">
        <v>6000</v>
      </c>
    </row>
    <row r="378" spans="18:18" x14ac:dyDescent="0.3">
      <c r="R378" s="4">
        <v>6000</v>
      </c>
    </row>
    <row r="379" spans="18:18" x14ac:dyDescent="0.3">
      <c r="R379" s="3">
        <v>6000</v>
      </c>
    </row>
    <row r="380" spans="18:18" x14ac:dyDescent="0.3">
      <c r="R380" s="4">
        <v>6000</v>
      </c>
    </row>
    <row r="381" spans="18:18" x14ac:dyDescent="0.3">
      <c r="R381" s="3">
        <v>6000</v>
      </c>
    </row>
    <row r="382" spans="18:18" x14ac:dyDescent="0.3">
      <c r="R382" s="4">
        <v>6000</v>
      </c>
    </row>
    <row r="383" spans="18:18" x14ac:dyDescent="0.3">
      <c r="R383" s="3">
        <v>6000</v>
      </c>
    </row>
    <row r="384" spans="18:18" x14ac:dyDescent="0.3">
      <c r="R384" s="4">
        <v>6000</v>
      </c>
    </row>
    <row r="385" spans="18:18" x14ac:dyDescent="0.3">
      <c r="R385" s="3">
        <v>6000</v>
      </c>
    </row>
    <row r="386" spans="18:18" x14ac:dyDescent="0.3">
      <c r="R386" s="4">
        <v>6000</v>
      </c>
    </row>
    <row r="387" spans="18:18" x14ac:dyDescent="0.3">
      <c r="R387" s="3">
        <v>5800</v>
      </c>
    </row>
    <row r="388" spans="18:18" x14ac:dyDescent="0.3">
      <c r="R388" s="4">
        <v>5600</v>
      </c>
    </row>
    <row r="389" spans="18:18" x14ac:dyDescent="0.3">
      <c r="R389" s="3">
        <v>5500</v>
      </c>
    </row>
    <row r="390" spans="18:18" x14ac:dyDescent="0.3">
      <c r="R390" s="4">
        <v>5400</v>
      </c>
    </row>
    <row r="391" spans="18:18" x14ac:dyDescent="0.3">
      <c r="R391" s="3">
        <v>5000</v>
      </c>
    </row>
    <row r="392" spans="18:18" x14ac:dyDescent="0.3">
      <c r="R392" s="4">
        <v>5000</v>
      </c>
    </row>
    <row r="393" spans="18:18" x14ac:dyDescent="0.3">
      <c r="R393" s="3">
        <v>5000</v>
      </c>
    </row>
    <row r="394" spans="18:18" x14ac:dyDescent="0.3">
      <c r="R394" s="4">
        <v>5000</v>
      </c>
    </row>
    <row r="395" spans="18:18" x14ac:dyDescent="0.3">
      <c r="R395" s="3">
        <v>5000</v>
      </c>
    </row>
    <row r="396" spans="18:18" x14ac:dyDescent="0.3">
      <c r="R396" s="4">
        <v>5000</v>
      </c>
    </row>
    <row r="397" spans="18:18" x14ac:dyDescent="0.3">
      <c r="R397" s="3">
        <v>5000</v>
      </c>
    </row>
    <row r="398" spans="18:18" x14ac:dyDescent="0.3">
      <c r="R398" s="4">
        <v>5000</v>
      </c>
    </row>
    <row r="399" spans="18:18" x14ac:dyDescent="0.3">
      <c r="R399" s="3">
        <v>5000</v>
      </c>
    </row>
    <row r="400" spans="18:18" x14ac:dyDescent="0.3">
      <c r="R400" s="4">
        <v>5000</v>
      </c>
    </row>
    <row r="401" spans="18:18" x14ac:dyDescent="0.3">
      <c r="R401" s="3">
        <v>5000</v>
      </c>
    </row>
    <row r="402" spans="18:18" x14ac:dyDescent="0.3">
      <c r="R402" s="4">
        <v>5000</v>
      </c>
    </row>
    <row r="403" spans="18:18" x14ac:dyDescent="0.3">
      <c r="R403" s="3">
        <v>5000</v>
      </c>
    </row>
    <row r="404" spans="18:18" x14ac:dyDescent="0.3">
      <c r="R404" s="4">
        <v>5000</v>
      </c>
    </row>
    <row r="405" spans="18:18" x14ac:dyDescent="0.3">
      <c r="R405" s="3">
        <v>5000</v>
      </c>
    </row>
    <row r="406" spans="18:18" x14ac:dyDescent="0.3">
      <c r="R406" s="4">
        <v>5000</v>
      </c>
    </row>
    <row r="407" spans="18:18" x14ac:dyDescent="0.3">
      <c r="R407" s="3">
        <v>5000</v>
      </c>
    </row>
    <row r="408" spans="18:18" x14ac:dyDescent="0.3">
      <c r="R408" s="4">
        <v>5000</v>
      </c>
    </row>
    <row r="409" spans="18:18" x14ac:dyDescent="0.3">
      <c r="R409" s="3">
        <v>5000</v>
      </c>
    </row>
    <row r="410" spans="18:18" x14ac:dyDescent="0.3">
      <c r="R410" s="4">
        <v>5000</v>
      </c>
    </row>
    <row r="411" spans="18:18" x14ac:dyDescent="0.3">
      <c r="R411" s="3">
        <v>5000</v>
      </c>
    </row>
    <row r="412" spans="18:18" x14ac:dyDescent="0.3">
      <c r="R412" s="4">
        <v>5000</v>
      </c>
    </row>
    <row r="413" spans="18:18" x14ac:dyDescent="0.3">
      <c r="R413" s="3">
        <v>5000</v>
      </c>
    </row>
    <row r="414" spans="18:18" x14ac:dyDescent="0.3">
      <c r="R414" s="4">
        <v>5000</v>
      </c>
    </row>
    <row r="415" spans="18:18" x14ac:dyDescent="0.3">
      <c r="R415" s="3">
        <v>5000</v>
      </c>
    </row>
    <row r="416" spans="18:18" x14ac:dyDescent="0.3">
      <c r="R416" s="4">
        <v>5000</v>
      </c>
    </row>
    <row r="417" spans="18:18" x14ac:dyDescent="0.3">
      <c r="R417" s="3">
        <v>5000</v>
      </c>
    </row>
    <row r="418" spans="18:18" x14ac:dyDescent="0.3">
      <c r="R418" s="4">
        <v>5000</v>
      </c>
    </row>
    <row r="419" spans="18:18" x14ac:dyDescent="0.3">
      <c r="R419" s="3">
        <v>5000</v>
      </c>
    </row>
    <row r="420" spans="18:18" x14ac:dyDescent="0.3">
      <c r="R420" s="4">
        <v>5000</v>
      </c>
    </row>
    <row r="421" spans="18:18" x14ac:dyDescent="0.3">
      <c r="R421" s="3">
        <v>5000</v>
      </c>
    </row>
    <row r="422" spans="18:18" x14ac:dyDescent="0.3">
      <c r="R422" s="4">
        <v>5000</v>
      </c>
    </row>
    <row r="423" spans="18:18" x14ac:dyDescent="0.3">
      <c r="R423" s="3">
        <v>5000</v>
      </c>
    </row>
    <row r="424" spans="18:18" x14ac:dyDescent="0.3">
      <c r="R424" s="4">
        <v>5000</v>
      </c>
    </row>
    <row r="425" spans="18:18" x14ac:dyDescent="0.3">
      <c r="R425" s="3">
        <v>5000</v>
      </c>
    </row>
    <row r="426" spans="18:18" x14ac:dyDescent="0.3">
      <c r="R426" s="4">
        <v>5000</v>
      </c>
    </row>
    <row r="427" spans="18:18" x14ac:dyDescent="0.3">
      <c r="R427" s="3">
        <v>5000</v>
      </c>
    </row>
    <row r="428" spans="18:18" x14ac:dyDescent="0.3">
      <c r="R428" s="4">
        <v>5000</v>
      </c>
    </row>
    <row r="429" spans="18:18" x14ac:dyDescent="0.3">
      <c r="R429" s="3">
        <v>5000</v>
      </c>
    </row>
    <row r="430" spans="18:18" x14ac:dyDescent="0.3">
      <c r="R430" s="4">
        <v>5000</v>
      </c>
    </row>
    <row r="431" spans="18:18" x14ac:dyDescent="0.3">
      <c r="R431" s="3">
        <v>5000</v>
      </c>
    </row>
    <row r="432" spans="18:18" x14ac:dyDescent="0.3">
      <c r="R432" s="4">
        <v>5000</v>
      </c>
    </row>
    <row r="433" spans="18:18" x14ac:dyDescent="0.3">
      <c r="R433" s="3">
        <v>5000</v>
      </c>
    </row>
    <row r="434" spans="18:18" x14ac:dyDescent="0.3">
      <c r="R434" s="4">
        <v>5000</v>
      </c>
    </row>
    <row r="435" spans="18:18" x14ac:dyDescent="0.3">
      <c r="R435" s="3">
        <v>5000</v>
      </c>
    </row>
    <row r="436" spans="18:18" x14ac:dyDescent="0.3">
      <c r="R436" s="4">
        <v>5000</v>
      </c>
    </row>
    <row r="437" spans="18:18" x14ac:dyDescent="0.3">
      <c r="R437" s="3">
        <v>5000</v>
      </c>
    </row>
    <row r="438" spans="18:18" x14ac:dyDescent="0.3">
      <c r="R438" s="4">
        <v>5000</v>
      </c>
    </row>
    <row r="439" spans="18:18" x14ac:dyDescent="0.3">
      <c r="R439" s="3">
        <v>5000</v>
      </c>
    </row>
    <row r="440" spans="18:18" x14ac:dyDescent="0.3">
      <c r="R440" s="4">
        <v>5000</v>
      </c>
    </row>
    <row r="441" spans="18:18" x14ac:dyDescent="0.3">
      <c r="R441" s="3">
        <v>5000</v>
      </c>
    </row>
    <row r="442" spans="18:18" x14ac:dyDescent="0.3">
      <c r="R442" s="4">
        <v>5000</v>
      </c>
    </row>
    <row r="443" spans="18:18" x14ac:dyDescent="0.3">
      <c r="R443" s="3">
        <v>5000</v>
      </c>
    </row>
    <row r="444" spans="18:18" x14ac:dyDescent="0.3">
      <c r="R444" s="4">
        <v>5000</v>
      </c>
    </row>
    <row r="445" spans="18:18" x14ac:dyDescent="0.3">
      <c r="R445" s="3">
        <v>5000</v>
      </c>
    </row>
    <row r="446" spans="18:18" x14ac:dyDescent="0.3">
      <c r="R446" s="4">
        <v>5000</v>
      </c>
    </row>
    <row r="447" spans="18:18" x14ac:dyDescent="0.3">
      <c r="R447" s="3">
        <v>4700</v>
      </c>
    </row>
    <row r="448" spans="18:18" x14ac:dyDescent="0.3">
      <c r="R448" s="4">
        <v>4500</v>
      </c>
    </row>
    <row r="449" spans="18:18" x14ac:dyDescent="0.3">
      <c r="R449" s="3">
        <v>4500</v>
      </c>
    </row>
    <row r="450" spans="18:18" x14ac:dyDescent="0.3">
      <c r="R450" s="4">
        <v>4500</v>
      </c>
    </row>
    <row r="451" spans="18:18" x14ac:dyDescent="0.3">
      <c r="R451" s="3">
        <v>4400</v>
      </c>
    </row>
    <row r="452" spans="18:18" x14ac:dyDescent="0.3">
      <c r="R452" s="4">
        <v>4300</v>
      </c>
    </row>
    <row r="453" spans="18:18" x14ac:dyDescent="0.3">
      <c r="R453" s="3">
        <v>4250</v>
      </c>
    </row>
    <row r="454" spans="18:18" x14ac:dyDescent="0.3">
      <c r="R454" s="4">
        <v>4000</v>
      </c>
    </row>
    <row r="455" spans="18:18" x14ac:dyDescent="0.3">
      <c r="R455" s="3">
        <v>4000</v>
      </c>
    </row>
    <row r="456" spans="18:18" x14ac:dyDescent="0.3">
      <c r="R456" s="4">
        <v>4000</v>
      </c>
    </row>
    <row r="457" spans="18:18" x14ac:dyDescent="0.3">
      <c r="R457" s="3">
        <v>4000</v>
      </c>
    </row>
    <row r="458" spans="18:18" x14ac:dyDescent="0.3">
      <c r="R458" s="4">
        <v>4000</v>
      </c>
    </row>
    <row r="459" spans="18:18" x14ac:dyDescent="0.3">
      <c r="R459" s="3">
        <v>4000</v>
      </c>
    </row>
    <row r="460" spans="18:18" x14ac:dyDescent="0.3">
      <c r="R460" s="4">
        <v>4000</v>
      </c>
    </row>
    <row r="461" spans="18:18" x14ac:dyDescent="0.3">
      <c r="R461" s="3">
        <v>4000</v>
      </c>
    </row>
    <row r="462" spans="18:18" x14ac:dyDescent="0.3">
      <c r="R462" s="4">
        <v>4000</v>
      </c>
    </row>
    <row r="463" spans="18:18" x14ac:dyDescent="0.3">
      <c r="R463" s="3">
        <v>4000</v>
      </c>
    </row>
    <row r="464" spans="18:18" x14ac:dyDescent="0.3">
      <c r="R464" s="4">
        <v>4000</v>
      </c>
    </row>
    <row r="465" spans="18:18" x14ac:dyDescent="0.3">
      <c r="R465" s="3">
        <v>4000</v>
      </c>
    </row>
    <row r="466" spans="18:18" x14ac:dyDescent="0.3">
      <c r="R466" s="4">
        <v>4000</v>
      </c>
    </row>
    <row r="467" spans="18:18" x14ac:dyDescent="0.3">
      <c r="R467" s="3">
        <v>4000</v>
      </c>
    </row>
    <row r="468" spans="18:18" x14ac:dyDescent="0.3">
      <c r="R468" s="4">
        <v>4000</v>
      </c>
    </row>
    <row r="469" spans="18:18" x14ac:dyDescent="0.3">
      <c r="R469" s="3">
        <v>4000</v>
      </c>
    </row>
    <row r="470" spans="18:18" x14ac:dyDescent="0.3">
      <c r="R470" s="4">
        <v>4000</v>
      </c>
    </row>
    <row r="471" spans="18:18" x14ac:dyDescent="0.3">
      <c r="R471" s="3">
        <v>4000</v>
      </c>
    </row>
    <row r="472" spans="18:18" x14ac:dyDescent="0.3">
      <c r="R472" s="4">
        <v>3800</v>
      </c>
    </row>
    <row r="473" spans="18:18" x14ac:dyDescent="0.3">
      <c r="R473" s="3">
        <v>3600</v>
      </c>
    </row>
    <row r="474" spans="18:18" x14ac:dyDescent="0.3">
      <c r="R474" s="4">
        <v>3520</v>
      </c>
    </row>
    <row r="475" spans="18:18" x14ac:dyDescent="0.3">
      <c r="R475" s="3">
        <v>3500</v>
      </c>
    </row>
    <row r="476" spans="18:18" x14ac:dyDescent="0.3">
      <c r="R476" s="4">
        <v>3400</v>
      </c>
    </row>
    <row r="477" spans="18:18" x14ac:dyDescent="0.3">
      <c r="R477" s="3">
        <v>3375</v>
      </c>
    </row>
    <row r="478" spans="18:18" x14ac:dyDescent="0.3">
      <c r="R478" s="4">
        <v>3250</v>
      </c>
    </row>
    <row r="479" spans="18:18" x14ac:dyDescent="0.3">
      <c r="R479" s="3">
        <v>3000</v>
      </c>
    </row>
    <row r="480" spans="18:18" x14ac:dyDescent="0.3">
      <c r="R480" s="4">
        <v>3000</v>
      </c>
    </row>
    <row r="481" spans="18:18" x14ac:dyDescent="0.3">
      <c r="R481" s="3">
        <v>3000</v>
      </c>
    </row>
    <row r="482" spans="18:18" x14ac:dyDescent="0.3">
      <c r="R482" s="4">
        <v>3000</v>
      </c>
    </row>
    <row r="483" spans="18:18" x14ac:dyDescent="0.3">
      <c r="R483" s="3">
        <v>3000</v>
      </c>
    </row>
    <row r="484" spans="18:18" x14ac:dyDescent="0.3">
      <c r="R484" s="4">
        <v>3000</v>
      </c>
    </row>
    <row r="485" spans="18:18" x14ac:dyDescent="0.3">
      <c r="R485" s="3">
        <v>3000</v>
      </c>
    </row>
    <row r="486" spans="18:18" x14ac:dyDescent="0.3">
      <c r="R486" s="4">
        <v>3000</v>
      </c>
    </row>
    <row r="487" spans="18:18" x14ac:dyDescent="0.3">
      <c r="R487" s="3">
        <v>3000</v>
      </c>
    </row>
    <row r="488" spans="18:18" x14ac:dyDescent="0.3">
      <c r="R488" s="4">
        <v>3000</v>
      </c>
    </row>
    <row r="489" spans="18:18" x14ac:dyDescent="0.3">
      <c r="R489" s="3">
        <v>3000</v>
      </c>
    </row>
    <row r="490" spans="18:18" x14ac:dyDescent="0.3">
      <c r="R490" s="4">
        <v>3000</v>
      </c>
    </row>
    <row r="491" spans="18:18" x14ac:dyDescent="0.3">
      <c r="R491" s="3">
        <v>3000</v>
      </c>
    </row>
    <row r="492" spans="18:18" x14ac:dyDescent="0.3">
      <c r="R492" s="4">
        <v>3000</v>
      </c>
    </row>
    <row r="493" spans="18:18" x14ac:dyDescent="0.3">
      <c r="R493" s="3">
        <v>3000</v>
      </c>
    </row>
    <row r="494" spans="18:18" x14ac:dyDescent="0.3">
      <c r="R494" s="4">
        <v>3000</v>
      </c>
    </row>
    <row r="495" spans="18:18" x14ac:dyDescent="0.3">
      <c r="R495" s="3">
        <v>3000</v>
      </c>
    </row>
    <row r="496" spans="18:18" x14ac:dyDescent="0.3">
      <c r="R496" s="4">
        <v>3000</v>
      </c>
    </row>
    <row r="497" spans="18:18" x14ac:dyDescent="0.3">
      <c r="R497" s="3">
        <v>3000</v>
      </c>
    </row>
    <row r="498" spans="18:18" x14ac:dyDescent="0.3">
      <c r="R498" s="4">
        <v>3000</v>
      </c>
    </row>
    <row r="499" spans="18:18" x14ac:dyDescent="0.3">
      <c r="R499" s="3">
        <v>3000</v>
      </c>
    </row>
    <row r="500" spans="18:18" x14ac:dyDescent="0.3">
      <c r="R500" s="4">
        <v>3000</v>
      </c>
    </row>
    <row r="501" spans="18:18" x14ac:dyDescent="0.3">
      <c r="R501" s="3">
        <v>3000</v>
      </c>
    </row>
    <row r="502" spans="18:18" x14ac:dyDescent="0.3">
      <c r="R502" s="4">
        <v>2800</v>
      </c>
    </row>
    <row r="503" spans="18:18" x14ac:dyDescent="0.3">
      <c r="R503" s="3">
        <v>2500</v>
      </c>
    </row>
    <row r="504" spans="18:18" x14ac:dyDescent="0.3">
      <c r="R504" s="4">
        <v>2500</v>
      </c>
    </row>
    <row r="505" spans="18:18" x14ac:dyDescent="0.3">
      <c r="R505" s="3">
        <v>2400</v>
      </c>
    </row>
    <row r="506" spans="18:18" x14ac:dyDescent="0.3">
      <c r="R506" s="4">
        <v>2000</v>
      </c>
    </row>
    <row r="507" spans="18:18" x14ac:dyDescent="0.3">
      <c r="R507" s="3">
        <v>2000</v>
      </c>
    </row>
    <row r="508" spans="18:18" x14ac:dyDescent="0.3">
      <c r="R508" s="4">
        <v>2000</v>
      </c>
    </row>
    <row r="509" spans="18:18" x14ac:dyDescent="0.3">
      <c r="R509" s="3">
        <v>2000</v>
      </c>
    </row>
    <row r="510" spans="18:18" x14ac:dyDescent="0.3">
      <c r="R510" s="4">
        <v>2000</v>
      </c>
    </row>
    <row r="511" spans="18:18" x14ac:dyDescent="0.3">
      <c r="R511" s="3">
        <v>2000</v>
      </c>
    </row>
    <row r="512" spans="18:18" x14ac:dyDescent="0.3">
      <c r="R512" s="4">
        <v>2000</v>
      </c>
    </row>
    <row r="513" spans="18:18" x14ac:dyDescent="0.3">
      <c r="R513" s="3">
        <v>2000</v>
      </c>
    </row>
    <row r="514" spans="18:18" x14ac:dyDescent="0.3">
      <c r="R514" s="4">
        <v>2000</v>
      </c>
    </row>
    <row r="515" spans="18:18" x14ac:dyDescent="0.3">
      <c r="R515" s="3">
        <v>2000</v>
      </c>
    </row>
    <row r="516" spans="18:18" x14ac:dyDescent="0.3">
      <c r="R516" s="4">
        <v>2000</v>
      </c>
    </row>
    <row r="517" spans="18:18" x14ac:dyDescent="0.3">
      <c r="R517" s="3">
        <v>2000</v>
      </c>
    </row>
    <row r="518" spans="18:18" x14ac:dyDescent="0.3">
      <c r="R518" s="4">
        <v>2000</v>
      </c>
    </row>
    <row r="519" spans="18:18" x14ac:dyDescent="0.3">
      <c r="R519" s="3">
        <v>2000</v>
      </c>
    </row>
    <row r="520" spans="18:18" x14ac:dyDescent="0.3">
      <c r="R520" s="4">
        <v>2000</v>
      </c>
    </row>
    <row r="521" spans="18:18" x14ac:dyDescent="0.3">
      <c r="R521" s="3">
        <v>2000</v>
      </c>
    </row>
    <row r="522" spans="18:18" x14ac:dyDescent="0.3">
      <c r="R522" s="4">
        <v>2000</v>
      </c>
    </row>
    <row r="523" spans="18:18" x14ac:dyDescent="0.3">
      <c r="R523" s="3">
        <v>2000</v>
      </c>
    </row>
    <row r="524" spans="18:18" x14ac:dyDescent="0.3">
      <c r="R524" s="4">
        <v>2000</v>
      </c>
    </row>
    <row r="525" spans="18:18" x14ac:dyDescent="0.3">
      <c r="R525" s="3">
        <v>2000</v>
      </c>
    </row>
    <row r="526" spans="18:18" x14ac:dyDescent="0.3">
      <c r="R526" s="4">
        <v>2000</v>
      </c>
    </row>
    <row r="527" spans="18:18" x14ac:dyDescent="0.3">
      <c r="R527" s="3">
        <v>2000</v>
      </c>
    </row>
    <row r="528" spans="18:18" x14ac:dyDescent="0.3">
      <c r="R528" s="4">
        <v>2000</v>
      </c>
    </row>
    <row r="529" spans="18:18" x14ac:dyDescent="0.3">
      <c r="R529" s="3">
        <v>2000</v>
      </c>
    </row>
    <row r="530" spans="18:18" x14ac:dyDescent="0.3">
      <c r="R530" s="4">
        <v>2000</v>
      </c>
    </row>
    <row r="531" spans="18:18" x14ac:dyDescent="0.3">
      <c r="R531" s="3">
        <v>2000</v>
      </c>
    </row>
    <row r="532" spans="18:18" x14ac:dyDescent="0.3">
      <c r="R532" s="4">
        <v>2000</v>
      </c>
    </row>
    <row r="533" spans="18:18" x14ac:dyDescent="0.3">
      <c r="R533" s="3">
        <v>2000</v>
      </c>
    </row>
    <row r="534" spans="18:18" x14ac:dyDescent="0.3">
      <c r="R534" s="4">
        <v>2000</v>
      </c>
    </row>
    <row r="535" spans="18:18" x14ac:dyDescent="0.3">
      <c r="R535" s="3">
        <v>2000</v>
      </c>
    </row>
    <row r="536" spans="18:18" x14ac:dyDescent="0.3">
      <c r="R536" s="4">
        <v>2000</v>
      </c>
    </row>
    <row r="537" spans="18:18" x14ac:dyDescent="0.3">
      <c r="R537" s="3">
        <v>2000</v>
      </c>
    </row>
    <row r="538" spans="18:18" x14ac:dyDescent="0.3">
      <c r="R538" s="4">
        <v>2000</v>
      </c>
    </row>
    <row r="539" spans="18:18" x14ac:dyDescent="0.3">
      <c r="R539" s="3">
        <v>2000</v>
      </c>
    </row>
    <row r="540" spans="18:18" x14ac:dyDescent="0.3">
      <c r="R540" s="4">
        <v>2000</v>
      </c>
    </row>
    <row r="541" spans="18:18" x14ac:dyDescent="0.3">
      <c r="R541" s="3">
        <v>2000</v>
      </c>
    </row>
    <row r="542" spans="18:18" x14ac:dyDescent="0.3">
      <c r="R542" s="4">
        <v>1600</v>
      </c>
    </row>
    <row r="543" spans="18:18" x14ac:dyDescent="0.3">
      <c r="R543" s="3">
        <v>1500</v>
      </c>
    </row>
    <row r="544" spans="18:18" x14ac:dyDescent="0.3">
      <c r="R544" s="4">
        <v>1500</v>
      </c>
    </row>
    <row r="545" spans="18:18" x14ac:dyDescent="0.3">
      <c r="R545" s="3">
        <v>1500</v>
      </c>
    </row>
    <row r="546" spans="18:18" x14ac:dyDescent="0.3">
      <c r="R546" s="4">
        <v>1500</v>
      </c>
    </row>
    <row r="547" spans="18:18" x14ac:dyDescent="0.3">
      <c r="R547" s="3">
        <v>1500</v>
      </c>
    </row>
    <row r="548" spans="18:18" x14ac:dyDescent="0.3">
      <c r="R548" s="4">
        <v>1500</v>
      </c>
    </row>
    <row r="549" spans="18:18" x14ac:dyDescent="0.3">
      <c r="R549" s="3">
        <v>1500</v>
      </c>
    </row>
    <row r="550" spans="18:18" x14ac:dyDescent="0.3">
      <c r="R550" s="4">
        <v>1250</v>
      </c>
    </row>
    <row r="551" spans="18:18" x14ac:dyDescent="0.3">
      <c r="R551" s="3">
        <v>1200</v>
      </c>
    </row>
    <row r="552" spans="18:18" x14ac:dyDescent="0.3">
      <c r="R552" s="4">
        <v>1100</v>
      </c>
    </row>
    <row r="553" spans="18:18" x14ac:dyDescent="0.3">
      <c r="R553" s="3">
        <v>1000</v>
      </c>
    </row>
    <row r="554" spans="18:18" x14ac:dyDescent="0.3">
      <c r="R554" s="4">
        <v>1000</v>
      </c>
    </row>
    <row r="555" spans="18:18" x14ac:dyDescent="0.3">
      <c r="R555" s="3">
        <v>1000</v>
      </c>
    </row>
    <row r="556" spans="18:18" x14ac:dyDescent="0.3">
      <c r="R556" s="4">
        <v>1000</v>
      </c>
    </row>
    <row r="557" spans="18:18" x14ac:dyDescent="0.3">
      <c r="R557" s="3">
        <v>1000</v>
      </c>
    </row>
    <row r="558" spans="18:18" x14ac:dyDescent="0.3">
      <c r="R558" s="4">
        <v>1000</v>
      </c>
    </row>
    <row r="559" spans="18:18" x14ac:dyDescent="0.3">
      <c r="R559" s="3">
        <v>1000</v>
      </c>
    </row>
    <row r="560" spans="18:18" x14ac:dyDescent="0.3">
      <c r="R560" s="4">
        <v>1000</v>
      </c>
    </row>
    <row r="561" spans="18:18" x14ac:dyDescent="0.3">
      <c r="R561" s="3">
        <v>1000</v>
      </c>
    </row>
    <row r="562" spans="18:18" x14ac:dyDescent="0.3">
      <c r="R562" s="4">
        <v>1000</v>
      </c>
    </row>
    <row r="563" spans="18:18" x14ac:dyDescent="0.3">
      <c r="R563" s="3">
        <v>1000</v>
      </c>
    </row>
    <row r="564" spans="18:18" x14ac:dyDescent="0.3">
      <c r="R564" s="4">
        <v>1000</v>
      </c>
    </row>
    <row r="565" spans="18:18" x14ac:dyDescent="0.3">
      <c r="R565" s="3">
        <v>1000</v>
      </c>
    </row>
    <row r="566" spans="18:18" x14ac:dyDescent="0.3">
      <c r="R566" s="4">
        <v>1000</v>
      </c>
    </row>
    <row r="567" spans="18:18" x14ac:dyDescent="0.3">
      <c r="R567" s="3">
        <v>1000</v>
      </c>
    </row>
    <row r="568" spans="18:18" x14ac:dyDescent="0.3">
      <c r="R568" s="4">
        <v>1000</v>
      </c>
    </row>
    <row r="569" spans="18:18" x14ac:dyDescent="0.3">
      <c r="R569" s="3">
        <v>1000</v>
      </c>
    </row>
    <row r="570" spans="18:18" x14ac:dyDescent="0.3">
      <c r="R570" s="4">
        <v>1000</v>
      </c>
    </row>
    <row r="571" spans="18:18" x14ac:dyDescent="0.3">
      <c r="R571" s="3">
        <v>1000</v>
      </c>
    </row>
    <row r="572" spans="18:18" x14ac:dyDescent="0.3">
      <c r="R572" s="4">
        <v>1000</v>
      </c>
    </row>
    <row r="573" spans="18:18" x14ac:dyDescent="0.3">
      <c r="R573" s="3">
        <v>1000</v>
      </c>
    </row>
    <row r="574" spans="18:18" x14ac:dyDescent="0.3">
      <c r="R574" s="4">
        <v>1000</v>
      </c>
    </row>
    <row r="575" spans="18:18" x14ac:dyDescent="0.3">
      <c r="R575" s="3">
        <v>1000</v>
      </c>
    </row>
    <row r="576" spans="18:18" x14ac:dyDescent="0.3">
      <c r="R576" s="4">
        <v>800</v>
      </c>
    </row>
    <row r="577" spans="18:18" x14ac:dyDescent="0.3">
      <c r="R577" s="3">
        <v>800</v>
      </c>
    </row>
    <row r="578" spans="18:18" x14ac:dyDescent="0.3">
      <c r="R578" s="4">
        <v>700</v>
      </c>
    </row>
    <row r="579" spans="18:18" x14ac:dyDescent="0.3">
      <c r="R579" s="3">
        <v>500</v>
      </c>
    </row>
    <row r="580" spans="18:18" x14ac:dyDescent="0.3">
      <c r="R580" s="4">
        <v>500</v>
      </c>
    </row>
    <row r="581" spans="18:18" x14ac:dyDescent="0.3">
      <c r="R581" s="3">
        <v>500</v>
      </c>
    </row>
    <row r="582" spans="18:18" x14ac:dyDescent="0.3">
      <c r="R582" s="4">
        <v>500</v>
      </c>
    </row>
    <row r="583" spans="18:18" x14ac:dyDescent="0.3">
      <c r="R583" s="3">
        <v>500</v>
      </c>
    </row>
    <row r="584" spans="18:18" x14ac:dyDescent="0.3">
      <c r="R584" s="4">
        <v>400</v>
      </c>
    </row>
    <row r="585" spans="18:18" x14ac:dyDescent="0.3">
      <c r="R585" s="3">
        <v>122.13</v>
      </c>
    </row>
    <row r="586" spans="18:18" x14ac:dyDescent="0.3">
      <c r="R586" s="4">
        <v>101</v>
      </c>
    </row>
    <row r="587" spans="18:18" x14ac:dyDescent="0.3">
      <c r="R587" s="3">
        <v>101</v>
      </c>
    </row>
    <row r="588" spans="18:18" x14ac:dyDescent="0.3">
      <c r="R588" s="4">
        <v>101</v>
      </c>
    </row>
    <row r="589" spans="18:18" x14ac:dyDescent="0.3">
      <c r="R589" s="3">
        <v>101</v>
      </c>
    </row>
    <row r="590" spans="18:18" x14ac:dyDescent="0.3">
      <c r="R590" s="4">
        <v>101</v>
      </c>
    </row>
    <row r="591" spans="18:18" x14ac:dyDescent="0.3">
      <c r="R591" s="3">
        <v>101</v>
      </c>
    </row>
    <row r="592" spans="18:18" x14ac:dyDescent="0.3">
      <c r="R592" s="4">
        <v>101</v>
      </c>
    </row>
    <row r="593" spans="18:18" x14ac:dyDescent="0.3">
      <c r="R593" s="3">
        <v>101</v>
      </c>
    </row>
    <row r="594" spans="18:18" x14ac:dyDescent="0.3">
      <c r="R594" s="4">
        <v>25</v>
      </c>
    </row>
    <row r="595" spans="18:18" x14ac:dyDescent="0.3">
      <c r="R595" s="3">
        <v>12</v>
      </c>
    </row>
    <row r="596" spans="18:18" x14ac:dyDescent="0.3">
      <c r="R596" s="4">
        <v>0</v>
      </c>
    </row>
    <row r="597" spans="18:18" x14ac:dyDescent="0.3">
      <c r="R597" s="3">
        <v>0</v>
      </c>
    </row>
    <row r="598" spans="18:18" x14ac:dyDescent="0.3">
      <c r="R598" s="4">
        <v>0</v>
      </c>
    </row>
    <row r="599" spans="18:18" x14ac:dyDescent="0.3">
      <c r="R599" s="3">
        <v>0</v>
      </c>
    </row>
    <row r="600" spans="18:18" x14ac:dyDescent="0.3">
      <c r="R600" s="4">
        <v>0</v>
      </c>
    </row>
    <row r="601" spans="18:18" x14ac:dyDescent="0.3">
      <c r="R601" s="3">
        <v>0</v>
      </c>
    </row>
    <row r="602" spans="18:18" x14ac:dyDescent="0.3">
      <c r="R602" s="4">
        <v>0</v>
      </c>
    </row>
    <row r="603" spans="18:18" x14ac:dyDescent="0.3">
      <c r="R603" s="3">
        <v>0</v>
      </c>
    </row>
    <row r="604" spans="18:18" x14ac:dyDescent="0.3">
      <c r="R604" s="4">
        <v>0</v>
      </c>
    </row>
    <row r="605" spans="18:18" x14ac:dyDescent="0.3">
      <c r="R605" s="3">
        <v>0</v>
      </c>
    </row>
    <row r="606" spans="18:18" x14ac:dyDescent="0.3">
      <c r="R606" s="4">
        <v>0</v>
      </c>
    </row>
    <row r="607" spans="18:18" x14ac:dyDescent="0.3">
      <c r="R607" s="3">
        <v>0</v>
      </c>
    </row>
    <row r="608" spans="18:18" x14ac:dyDescent="0.3">
      <c r="R608" s="4">
        <v>0</v>
      </c>
    </row>
    <row r="609" spans="18:18" x14ac:dyDescent="0.3">
      <c r="R609" s="3">
        <v>0</v>
      </c>
    </row>
    <row r="610" spans="18:18" x14ac:dyDescent="0.3">
      <c r="R610" s="4">
        <v>0</v>
      </c>
    </row>
    <row r="611" spans="18:18" x14ac:dyDescent="0.3">
      <c r="R611" s="3">
        <v>0</v>
      </c>
    </row>
    <row r="612" spans="18:18" x14ac:dyDescent="0.3">
      <c r="R612" s="4">
        <v>0</v>
      </c>
    </row>
    <row r="613" spans="18:18" x14ac:dyDescent="0.3">
      <c r="R613" s="3">
        <v>0</v>
      </c>
    </row>
    <row r="614" spans="18:18" x14ac:dyDescent="0.3">
      <c r="R614" s="4">
        <v>0</v>
      </c>
    </row>
    <row r="615" spans="18:18" x14ac:dyDescent="0.3">
      <c r="R615" s="3">
        <v>0</v>
      </c>
    </row>
    <row r="616" spans="18:18" x14ac:dyDescent="0.3">
      <c r="R616" s="4">
        <v>0</v>
      </c>
    </row>
    <row r="617" spans="18:18" x14ac:dyDescent="0.3">
      <c r="R617" s="3">
        <v>0</v>
      </c>
    </row>
    <row r="618" spans="18:18" x14ac:dyDescent="0.3">
      <c r="R618" s="4">
        <v>0</v>
      </c>
    </row>
    <row r="619" spans="18:18" x14ac:dyDescent="0.3">
      <c r="R619" s="3">
        <v>0</v>
      </c>
    </row>
    <row r="620" spans="18:18" x14ac:dyDescent="0.3">
      <c r="R620" s="4">
        <v>0</v>
      </c>
    </row>
    <row r="621" spans="18:18" x14ac:dyDescent="0.3">
      <c r="R621" s="3">
        <v>0</v>
      </c>
    </row>
    <row r="622" spans="18:18" x14ac:dyDescent="0.3">
      <c r="R622" s="4">
        <v>0</v>
      </c>
    </row>
    <row r="623" spans="18:18" x14ac:dyDescent="0.3">
      <c r="R623" s="3">
        <v>0</v>
      </c>
    </row>
    <row r="624" spans="18:18" x14ac:dyDescent="0.3">
      <c r="R624" s="4">
        <v>0</v>
      </c>
    </row>
    <row r="625" spans="18:18" x14ac:dyDescent="0.3">
      <c r="R625" s="3">
        <v>0</v>
      </c>
    </row>
    <row r="626" spans="18:18" x14ac:dyDescent="0.3">
      <c r="R626" s="4">
        <v>0</v>
      </c>
    </row>
    <row r="627" spans="18:18" x14ac:dyDescent="0.3">
      <c r="R627" s="3">
        <v>0</v>
      </c>
    </row>
    <row r="628" spans="18:18" x14ac:dyDescent="0.3">
      <c r="R628" s="4">
        <v>0</v>
      </c>
    </row>
    <row r="629" spans="18:18" x14ac:dyDescent="0.3">
      <c r="R629" s="3">
        <v>0</v>
      </c>
    </row>
    <row r="630" spans="18:18" x14ac:dyDescent="0.3">
      <c r="R630" s="4">
        <v>0</v>
      </c>
    </row>
    <row r="631" spans="18:18" x14ac:dyDescent="0.3">
      <c r="R631" s="3">
        <v>0</v>
      </c>
    </row>
    <row r="632" spans="18:18" x14ac:dyDescent="0.3">
      <c r="R632" s="4">
        <v>0</v>
      </c>
    </row>
    <row r="633" spans="18:18" x14ac:dyDescent="0.3">
      <c r="R633" s="3">
        <v>0</v>
      </c>
    </row>
    <row r="634" spans="18:18" x14ac:dyDescent="0.3">
      <c r="R634" s="4">
        <v>0</v>
      </c>
    </row>
    <row r="635" spans="18:18" x14ac:dyDescent="0.3">
      <c r="R635" s="3">
        <v>0</v>
      </c>
    </row>
    <row r="636" spans="18:18" x14ac:dyDescent="0.3">
      <c r="R636" s="4">
        <v>0</v>
      </c>
    </row>
    <row r="637" spans="18:18" x14ac:dyDescent="0.3">
      <c r="R637" s="3">
        <v>0</v>
      </c>
    </row>
    <row r="638" spans="18:18" x14ac:dyDescent="0.3">
      <c r="R638" s="4">
        <v>0</v>
      </c>
    </row>
    <row r="639" spans="18:18" x14ac:dyDescent="0.3">
      <c r="R639" s="3">
        <v>0</v>
      </c>
    </row>
    <row r="640" spans="18:18" x14ac:dyDescent="0.3">
      <c r="R640" s="4">
        <v>0</v>
      </c>
    </row>
    <row r="641" spans="18:18" x14ac:dyDescent="0.3">
      <c r="R641" s="3">
        <v>0</v>
      </c>
    </row>
    <row r="642" spans="18:18" x14ac:dyDescent="0.3">
      <c r="R642" s="4">
        <v>0</v>
      </c>
    </row>
    <row r="643" spans="18:18" x14ac:dyDescent="0.3">
      <c r="R643" s="3">
        <v>0</v>
      </c>
    </row>
    <row r="644" spans="18:18" x14ac:dyDescent="0.3">
      <c r="R644" s="4">
        <v>0</v>
      </c>
    </row>
    <row r="645" spans="18:18" x14ac:dyDescent="0.3">
      <c r="R645" s="3">
        <v>0</v>
      </c>
    </row>
    <row r="646" spans="18:18" x14ac:dyDescent="0.3">
      <c r="R646" s="4">
        <v>0</v>
      </c>
    </row>
    <row r="647" spans="18:18" x14ac:dyDescent="0.3">
      <c r="R647" s="3">
        <v>0</v>
      </c>
    </row>
    <row r="648" spans="18:18" x14ac:dyDescent="0.3">
      <c r="R648" s="4">
        <v>0</v>
      </c>
    </row>
    <row r="649" spans="18:18" x14ac:dyDescent="0.3">
      <c r="R649" s="3">
        <v>0</v>
      </c>
    </row>
    <row r="650" spans="18:18" x14ac:dyDescent="0.3">
      <c r="R650" s="4">
        <v>0</v>
      </c>
    </row>
    <row r="651" spans="18:18" x14ac:dyDescent="0.3">
      <c r="R651" s="3">
        <v>0</v>
      </c>
    </row>
    <row r="652" spans="18:18" x14ac:dyDescent="0.3">
      <c r="R652" s="4">
        <v>0</v>
      </c>
    </row>
    <row r="653" spans="18:18" x14ac:dyDescent="0.3">
      <c r="R653" s="3">
        <v>0</v>
      </c>
    </row>
    <row r="654" spans="18:18" x14ac:dyDescent="0.3">
      <c r="R654" s="4">
        <v>0</v>
      </c>
    </row>
    <row r="655" spans="18:18" x14ac:dyDescent="0.3">
      <c r="R655" s="3">
        <v>0</v>
      </c>
    </row>
    <row r="656" spans="18:18" x14ac:dyDescent="0.3">
      <c r="R656" s="4">
        <v>0</v>
      </c>
    </row>
    <row r="657" spans="18:18" x14ac:dyDescent="0.3">
      <c r="R657" s="3">
        <v>0</v>
      </c>
    </row>
    <row r="658" spans="18:18" x14ac:dyDescent="0.3">
      <c r="R658" s="4">
        <v>0</v>
      </c>
    </row>
    <row r="659" spans="18:18" x14ac:dyDescent="0.3">
      <c r="R659" s="3">
        <v>0</v>
      </c>
    </row>
    <row r="660" spans="18:18" x14ac:dyDescent="0.3">
      <c r="R660" s="4">
        <v>0</v>
      </c>
    </row>
    <row r="661" spans="18:18" x14ac:dyDescent="0.3">
      <c r="R661" s="3">
        <v>0</v>
      </c>
    </row>
    <row r="662" spans="18:18" x14ac:dyDescent="0.3">
      <c r="R662" s="4">
        <v>0</v>
      </c>
    </row>
    <row r="663" spans="18:18" x14ac:dyDescent="0.3">
      <c r="R663" s="3">
        <v>0</v>
      </c>
    </row>
    <row r="664" spans="18:18" x14ac:dyDescent="0.3">
      <c r="R664" s="4">
        <v>0</v>
      </c>
    </row>
    <row r="665" spans="18:18" x14ac:dyDescent="0.3">
      <c r="R665" s="3">
        <v>0</v>
      </c>
    </row>
    <row r="666" spans="18:18" x14ac:dyDescent="0.3">
      <c r="R666" s="4">
        <v>0</v>
      </c>
    </row>
    <row r="667" spans="18:18" x14ac:dyDescent="0.3">
      <c r="R667" s="3">
        <v>0</v>
      </c>
    </row>
    <row r="668" spans="18:18" x14ac:dyDescent="0.3">
      <c r="R668" s="4">
        <v>0</v>
      </c>
    </row>
    <row r="669" spans="18:18" x14ac:dyDescent="0.3">
      <c r="R669" s="3">
        <v>0</v>
      </c>
    </row>
    <row r="670" spans="18:18" x14ac:dyDescent="0.3">
      <c r="R670" s="4">
        <v>0</v>
      </c>
    </row>
    <row r="671" spans="18:18" x14ac:dyDescent="0.3">
      <c r="R671" s="3">
        <v>0</v>
      </c>
    </row>
    <row r="672" spans="18:18" x14ac:dyDescent="0.3">
      <c r="R672" s="4">
        <v>0</v>
      </c>
    </row>
    <row r="673" spans="18:18" x14ac:dyDescent="0.3">
      <c r="R673" s="3">
        <v>0</v>
      </c>
    </row>
    <row r="674" spans="18:18" x14ac:dyDescent="0.3">
      <c r="R674" s="4">
        <v>0</v>
      </c>
    </row>
    <row r="675" spans="18:18" x14ac:dyDescent="0.3">
      <c r="R675" s="3">
        <v>0</v>
      </c>
    </row>
    <row r="676" spans="18:18" x14ac:dyDescent="0.3">
      <c r="R676" s="4">
        <v>0</v>
      </c>
    </row>
    <row r="677" spans="18:18" x14ac:dyDescent="0.3">
      <c r="R677" s="3">
        <v>0</v>
      </c>
    </row>
    <row r="678" spans="18:18" x14ac:dyDescent="0.3">
      <c r="R678" s="4">
        <v>0</v>
      </c>
    </row>
    <row r="679" spans="18:18" x14ac:dyDescent="0.3">
      <c r="R679" s="3">
        <v>0</v>
      </c>
    </row>
    <row r="680" spans="18:18" x14ac:dyDescent="0.3">
      <c r="R680" s="4">
        <v>0</v>
      </c>
    </row>
    <row r="681" spans="18:18" x14ac:dyDescent="0.3">
      <c r="R681" s="3">
        <v>0</v>
      </c>
    </row>
    <row r="682" spans="18:18" x14ac:dyDescent="0.3">
      <c r="R682" s="4">
        <v>0</v>
      </c>
    </row>
    <row r="683" spans="18:18" x14ac:dyDescent="0.3">
      <c r="R683" s="3">
        <v>0</v>
      </c>
    </row>
    <row r="684" spans="18:18" x14ac:dyDescent="0.3">
      <c r="R684" s="4">
        <v>0</v>
      </c>
    </row>
    <row r="685" spans="18:18" x14ac:dyDescent="0.3">
      <c r="R685" s="3">
        <v>0</v>
      </c>
    </row>
    <row r="686" spans="18:18" x14ac:dyDescent="0.3">
      <c r="R686" s="4">
        <v>0</v>
      </c>
    </row>
    <row r="687" spans="18:18" x14ac:dyDescent="0.3">
      <c r="R687" s="3">
        <v>0</v>
      </c>
    </row>
    <row r="688" spans="18:18" x14ac:dyDescent="0.3">
      <c r="R688" s="4">
        <v>0</v>
      </c>
    </row>
    <row r="689" spans="18:18" x14ac:dyDescent="0.3">
      <c r="R689" s="3">
        <v>0</v>
      </c>
    </row>
    <row r="690" spans="18:18" x14ac:dyDescent="0.3">
      <c r="R690" s="4">
        <v>0</v>
      </c>
    </row>
    <row r="691" spans="18:18" x14ac:dyDescent="0.3">
      <c r="R691" s="3">
        <v>0</v>
      </c>
    </row>
    <row r="692" spans="18:18" x14ac:dyDescent="0.3">
      <c r="R692" s="4">
        <v>0</v>
      </c>
    </row>
    <row r="693" spans="18:18" x14ac:dyDescent="0.3">
      <c r="R693" s="3">
        <v>0</v>
      </c>
    </row>
    <row r="694" spans="18:18" x14ac:dyDescent="0.3">
      <c r="R694" s="4">
        <v>0</v>
      </c>
    </row>
    <row r="695" spans="18:18" x14ac:dyDescent="0.3">
      <c r="R695" s="3">
        <v>0</v>
      </c>
    </row>
    <row r="696" spans="18:18" x14ac:dyDescent="0.3">
      <c r="R696" s="4">
        <v>0</v>
      </c>
    </row>
    <row r="697" spans="18:18" x14ac:dyDescent="0.3">
      <c r="R697" s="3">
        <v>0</v>
      </c>
    </row>
    <row r="698" spans="18:18" x14ac:dyDescent="0.3">
      <c r="R698" s="4">
        <v>0</v>
      </c>
    </row>
    <row r="699" spans="18:18" x14ac:dyDescent="0.3">
      <c r="R699" s="3">
        <v>0</v>
      </c>
    </row>
    <row r="700" spans="18:18" x14ac:dyDescent="0.3">
      <c r="R700" s="4">
        <v>0</v>
      </c>
    </row>
    <row r="701" spans="18:18" x14ac:dyDescent="0.3">
      <c r="R701" s="3">
        <v>0</v>
      </c>
    </row>
    <row r="702" spans="18:18" x14ac:dyDescent="0.3">
      <c r="R702" s="4">
        <v>0</v>
      </c>
    </row>
    <row r="703" spans="18:18" x14ac:dyDescent="0.3">
      <c r="R703" s="3">
        <v>0</v>
      </c>
    </row>
    <row r="704" spans="18:18" x14ac:dyDescent="0.3">
      <c r="R704" s="4">
        <v>0</v>
      </c>
    </row>
    <row r="705" spans="18:18" x14ac:dyDescent="0.3">
      <c r="R705" s="3">
        <v>0</v>
      </c>
    </row>
    <row r="706" spans="18:18" x14ac:dyDescent="0.3">
      <c r="R706" s="4">
        <v>0</v>
      </c>
    </row>
    <row r="707" spans="18:18" x14ac:dyDescent="0.3">
      <c r="R707" s="3">
        <v>0</v>
      </c>
    </row>
    <row r="708" spans="18:18" x14ac:dyDescent="0.3">
      <c r="R708" s="4">
        <v>0</v>
      </c>
    </row>
    <row r="709" spans="18:18" x14ac:dyDescent="0.3">
      <c r="R709" s="3">
        <v>0</v>
      </c>
    </row>
    <row r="710" spans="18:18" x14ac:dyDescent="0.3">
      <c r="R710" s="4">
        <v>0</v>
      </c>
    </row>
    <row r="711" spans="18:18" x14ac:dyDescent="0.3">
      <c r="R711" s="3">
        <v>0</v>
      </c>
    </row>
    <row r="712" spans="18:18" x14ac:dyDescent="0.3">
      <c r="R712" s="4">
        <v>0</v>
      </c>
    </row>
    <row r="713" spans="18:18" x14ac:dyDescent="0.3">
      <c r="R713" s="3">
        <v>0</v>
      </c>
    </row>
    <row r="714" spans="18:18" x14ac:dyDescent="0.3">
      <c r="R714" s="4">
        <v>0</v>
      </c>
    </row>
    <row r="715" spans="18:18" x14ac:dyDescent="0.3">
      <c r="R715" s="3">
        <v>0</v>
      </c>
    </row>
    <row r="716" spans="18:18" x14ac:dyDescent="0.3">
      <c r="R716" s="4">
        <v>0</v>
      </c>
    </row>
    <row r="717" spans="18:18" x14ac:dyDescent="0.3">
      <c r="R717" s="3">
        <v>0</v>
      </c>
    </row>
    <row r="718" spans="18:18" x14ac:dyDescent="0.3">
      <c r="R718" s="4">
        <v>0</v>
      </c>
    </row>
    <row r="719" spans="18:18" x14ac:dyDescent="0.3">
      <c r="R719" s="3">
        <v>0</v>
      </c>
    </row>
    <row r="720" spans="18:18" x14ac:dyDescent="0.3">
      <c r="R720" s="4">
        <v>0</v>
      </c>
    </row>
    <row r="721" spans="18:18" x14ac:dyDescent="0.3">
      <c r="R721" s="3">
        <v>0</v>
      </c>
    </row>
    <row r="722" spans="18:18" x14ac:dyDescent="0.3">
      <c r="R722" s="4">
        <v>0</v>
      </c>
    </row>
    <row r="723" spans="18:18" x14ac:dyDescent="0.3">
      <c r="R723" s="3">
        <v>0</v>
      </c>
    </row>
    <row r="724" spans="18:18" x14ac:dyDescent="0.3">
      <c r="R724" s="4">
        <v>0</v>
      </c>
    </row>
    <row r="725" spans="18:18" x14ac:dyDescent="0.3">
      <c r="R725" s="3">
        <v>0</v>
      </c>
    </row>
    <row r="726" spans="18:18" x14ac:dyDescent="0.3">
      <c r="R726" s="4">
        <v>0</v>
      </c>
    </row>
    <row r="727" spans="18:18" x14ac:dyDescent="0.3">
      <c r="R727" s="3">
        <v>0</v>
      </c>
    </row>
    <row r="728" spans="18:18" x14ac:dyDescent="0.3">
      <c r="R728" s="4">
        <v>0</v>
      </c>
    </row>
    <row r="729" spans="18:18" x14ac:dyDescent="0.3">
      <c r="R729" s="3">
        <v>0</v>
      </c>
    </row>
    <row r="730" spans="18:18" x14ac:dyDescent="0.3">
      <c r="R730" s="4">
        <v>0</v>
      </c>
    </row>
    <row r="731" spans="18:18" x14ac:dyDescent="0.3">
      <c r="R731" s="3">
        <v>0</v>
      </c>
    </row>
    <row r="732" spans="18:18" x14ac:dyDescent="0.3">
      <c r="R732" s="4">
        <v>0</v>
      </c>
    </row>
    <row r="733" spans="18:18" x14ac:dyDescent="0.3">
      <c r="R733" s="3">
        <v>0</v>
      </c>
    </row>
    <row r="734" spans="18:18" x14ac:dyDescent="0.3">
      <c r="R734" s="4">
        <v>0</v>
      </c>
    </row>
    <row r="735" spans="18:18" x14ac:dyDescent="0.3">
      <c r="R735" s="3">
        <v>0</v>
      </c>
    </row>
    <row r="736" spans="18:18" x14ac:dyDescent="0.3">
      <c r="R736" s="4">
        <v>0</v>
      </c>
    </row>
    <row r="737" spans="18:18" x14ac:dyDescent="0.3">
      <c r="R737" s="3">
        <v>0</v>
      </c>
    </row>
    <row r="738" spans="18:18" x14ac:dyDescent="0.3">
      <c r="R738" s="4">
        <v>0</v>
      </c>
    </row>
    <row r="739" spans="18:18" x14ac:dyDescent="0.3">
      <c r="R739" s="3">
        <v>0</v>
      </c>
    </row>
    <row r="740" spans="18:18" x14ac:dyDescent="0.3">
      <c r="R740" s="4">
        <v>0</v>
      </c>
    </row>
    <row r="741" spans="18:18" x14ac:dyDescent="0.3">
      <c r="R741" s="3">
        <v>0</v>
      </c>
    </row>
    <row r="742" spans="18:18" x14ac:dyDescent="0.3">
      <c r="R742" s="4">
        <v>0</v>
      </c>
    </row>
    <row r="743" spans="18:18" x14ac:dyDescent="0.3">
      <c r="R743" s="3">
        <v>0</v>
      </c>
    </row>
    <row r="744" spans="18:18" x14ac:dyDescent="0.3">
      <c r="R744" s="4">
        <v>0</v>
      </c>
    </row>
    <row r="745" spans="18:18" x14ac:dyDescent="0.3">
      <c r="R745" s="3">
        <v>0</v>
      </c>
    </row>
    <row r="746" spans="18:18" x14ac:dyDescent="0.3">
      <c r="R746" s="4">
        <v>0</v>
      </c>
    </row>
    <row r="747" spans="18:18" x14ac:dyDescent="0.3">
      <c r="R747" s="3">
        <v>0</v>
      </c>
    </row>
    <row r="748" spans="18:18" x14ac:dyDescent="0.3">
      <c r="R748" s="4">
        <v>0</v>
      </c>
    </row>
    <row r="749" spans="18:18" x14ac:dyDescent="0.3">
      <c r="R749" s="3">
        <v>0</v>
      </c>
    </row>
    <row r="750" spans="18:18" x14ac:dyDescent="0.3">
      <c r="R750" s="4">
        <v>0</v>
      </c>
    </row>
    <row r="751" spans="18:18" x14ac:dyDescent="0.3">
      <c r="R751" s="3">
        <v>0</v>
      </c>
    </row>
    <row r="752" spans="18:18" x14ac:dyDescent="0.3">
      <c r="R752" s="4">
        <v>0</v>
      </c>
    </row>
    <row r="753" spans="18:18" x14ac:dyDescent="0.3">
      <c r="R753" s="3">
        <v>0</v>
      </c>
    </row>
    <row r="754" spans="18:18" x14ac:dyDescent="0.3">
      <c r="R754" s="4">
        <v>0</v>
      </c>
    </row>
    <row r="755" spans="18:18" x14ac:dyDescent="0.3">
      <c r="R755" s="3">
        <v>0</v>
      </c>
    </row>
    <row r="756" spans="18:18" x14ac:dyDescent="0.3">
      <c r="R756" s="4">
        <v>0</v>
      </c>
    </row>
    <row r="757" spans="18:18" x14ac:dyDescent="0.3">
      <c r="R757" s="3">
        <v>0</v>
      </c>
    </row>
    <row r="758" spans="18:18" x14ac:dyDescent="0.3">
      <c r="R758" s="4">
        <v>0</v>
      </c>
    </row>
    <row r="759" spans="18:18" x14ac:dyDescent="0.3">
      <c r="R759" s="3">
        <v>0</v>
      </c>
    </row>
    <row r="760" spans="18:18" x14ac:dyDescent="0.3">
      <c r="R760" s="4">
        <v>0</v>
      </c>
    </row>
    <row r="761" spans="18:18" x14ac:dyDescent="0.3">
      <c r="R761" s="3">
        <v>0</v>
      </c>
    </row>
    <row r="762" spans="18:18" x14ac:dyDescent="0.3">
      <c r="R762" s="4">
        <v>0</v>
      </c>
    </row>
    <row r="763" spans="18:18" x14ac:dyDescent="0.3">
      <c r="R763" s="3">
        <v>0</v>
      </c>
    </row>
    <row r="764" spans="18:18" x14ac:dyDescent="0.3">
      <c r="R764" s="4">
        <v>0</v>
      </c>
    </row>
    <row r="765" spans="18:18" x14ac:dyDescent="0.3">
      <c r="R765" s="3">
        <v>0</v>
      </c>
    </row>
    <row r="766" spans="18:18" x14ac:dyDescent="0.3">
      <c r="R766" s="4">
        <v>0</v>
      </c>
    </row>
    <row r="767" spans="18:18" x14ac:dyDescent="0.3">
      <c r="R767" s="3">
        <v>0</v>
      </c>
    </row>
    <row r="768" spans="18:18" x14ac:dyDescent="0.3">
      <c r="R768" s="4">
        <v>0</v>
      </c>
    </row>
    <row r="769" spans="18:18" x14ac:dyDescent="0.3">
      <c r="R769" s="3">
        <v>0</v>
      </c>
    </row>
    <row r="770" spans="18:18" x14ac:dyDescent="0.3">
      <c r="R770" s="4">
        <v>0</v>
      </c>
    </row>
    <row r="771" spans="18:18" x14ac:dyDescent="0.3">
      <c r="R771" s="3">
        <v>0</v>
      </c>
    </row>
    <row r="772" spans="18:18" x14ac:dyDescent="0.3">
      <c r="R772" s="4">
        <v>0</v>
      </c>
    </row>
    <row r="773" spans="18:18" x14ac:dyDescent="0.3">
      <c r="R773" s="3">
        <v>0</v>
      </c>
    </row>
    <row r="774" spans="18:18" x14ac:dyDescent="0.3">
      <c r="R774" s="4">
        <v>0</v>
      </c>
    </row>
    <row r="775" spans="18:18" x14ac:dyDescent="0.3">
      <c r="R775" s="3">
        <v>0</v>
      </c>
    </row>
    <row r="776" spans="18:18" x14ac:dyDescent="0.3">
      <c r="R776" s="4">
        <v>0</v>
      </c>
    </row>
    <row r="777" spans="18:18" x14ac:dyDescent="0.3">
      <c r="R777" s="3">
        <v>0</v>
      </c>
    </row>
    <row r="778" spans="18:18" x14ac:dyDescent="0.3">
      <c r="R778" s="4">
        <v>0</v>
      </c>
    </row>
    <row r="779" spans="18:18" x14ac:dyDescent="0.3">
      <c r="R779" s="3">
        <v>0</v>
      </c>
    </row>
    <row r="780" spans="18:18" x14ac:dyDescent="0.3">
      <c r="R780" s="4">
        <v>0</v>
      </c>
    </row>
    <row r="781" spans="18:18" x14ac:dyDescent="0.3">
      <c r="R781" s="3">
        <v>0</v>
      </c>
    </row>
    <row r="782" spans="18:18" x14ac:dyDescent="0.3">
      <c r="R782" s="4">
        <v>0</v>
      </c>
    </row>
    <row r="783" spans="18:18" x14ac:dyDescent="0.3">
      <c r="R783" s="3">
        <v>0</v>
      </c>
    </row>
    <row r="784" spans="18:18" x14ac:dyDescent="0.3">
      <c r="R784" s="4">
        <v>0</v>
      </c>
    </row>
    <row r="785" spans="18:18" x14ac:dyDescent="0.3">
      <c r="R785" s="3">
        <v>0</v>
      </c>
    </row>
    <row r="786" spans="18:18" x14ac:dyDescent="0.3">
      <c r="R786" s="4">
        <v>0</v>
      </c>
    </row>
    <row r="787" spans="18:18" x14ac:dyDescent="0.3">
      <c r="R787" s="3">
        <v>0</v>
      </c>
    </row>
    <row r="788" spans="18:18" x14ac:dyDescent="0.3">
      <c r="R788" s="4">
        <v>0</v>
      </c>
    </row>
    <row r="789" spans="18:18" x14ac:dyDescent="0.3">
      <c r="R789" s="3">
        <v>0</v>
      </c>
    </row>
    <row r="790" spans="18:18" x14ac:dyDescent="0.3">
      <c r="R790" s="4">
        <v>0</v>
      </c>
    </row>
    <row r="791" spans="18:18" x14ac:dyDescent="0.3">
      <c r="R791" s="3">
        <v>0</v>
      </c>
    </row>
    <row r="792" spans="18:18" x14ac:dyDescent="0.3">
      <c r="R792" s="4">
        <v>0</v>
      </c>
    </row>
    <row r="793" spans="18:18" x14ac:dyDescent="0.3">
      <c r="R793" s="3">
        <v>0</v>
      </c>
    </row>
    <row r="794" spans="18:18" x14ac:dyDescent="0.3">
      <c r="R794" s="4">
        <v>0</v>
      </c>
    </row>
    <row r="795" spans="18:18" x14ac:dyDescent="0.3">
      <c r="R795" s="3">
        <v>0</v>
      </c>
    </row>
    <row r="796" spans="18:18" x14ac:dyDescent="0.3">
      <c r="R796" s="4">
        <v>0</v>
      </c>
    </row>
    <row r="797" spans="18:18" x14ac:dyDescent="0.3">
      <c r="R797" s="3">
        <v>0</v>
      </c>
    </row>
    <row r="798" spans="18:18" x14ac:dyDescent="0.3">
      <c r="R798" s="4">
        <v>0</v>
      </c>
    </row>
    <row r="799" spans="18:18" x14ac:dyDescent="0.3">
      <c r="R799" s="3">
        <v>0</v>
      </c>
    </row>
    <row r="800" spans="18:18" x14ac:dyDescent="0.3">
      <c r="R800" s="4">
        <v>0</v>
      </c>
    </row>
    <row r="801" spans="18:18" x14ac:dyDescent="0.3">
      <c r="R801" s="3">
        <v>0</v>
      </c>
    </row>
    <row r="802" spans="18:18" x14ac:dyDescent="0.3">
      <c r="R802" s="4">
        <v>0</v>
      </c>
    </row>
    <row r="803" spans="18:18" x14ac:dyDescent="0.3">
      <c r="R803" s="3">
        <v>0</v>
      </c>
    </row>
    <row r="804" spans="18:18" x14ac:dyDescent="0.3">
      <c r="R804" s="4">
        <v>0</v>
      </c>
    </row>
    <row r="805" spans="18:18" x14ac:dyDescent="0.3">
      <c r="R805" s="3">
        <v>0</v>
      </c>
    </row>
    <row r="806" spans="18:18" x14ac:dyDescent="0.3">
      <c r="R806" s="4">
        <v>0</v>
      </c>
    </row>
    <row r="807" spans="18:18" x14ac:dyDescent="0.3">
      <c r="R807" s="3">
        <v>0</v>
      </c>
    </row>
    <row r="808" spans="18:18" x14ac:dyDescent="0.3">
      <c r="R808" s="4">
        <v>0</v>
      </c>
    </row>
    <row r="809" spans="18:18" x14ac:dyDescent="0.3">
      <c r="R809" s="3">
        <v>0</v>
      </c>
    </row>
    <row r="810" spans="18:18" x14ac:dyDescent="0.3">
      <c r="R810" s="4">
        <v>0</v>
      </c>
    </row>
    <row r="811" spans="18:18" x14ac:dyDescent="0.3">
      <c r="R811" s="3">
        <v>0</v>
      </c>
    </row>
    <row r="812" spans="18:18" x14ac:dyDescent="0.3">
      <c r="R812" s="4">
        <v>0</v>
      </c>
    </row>
    <row r="813" spans="18:18" x14ac:dyDescent="0.3">
      <c r="R813" s="3">
        <v>0</v>
      </c>
    </row>
    <row r="814" spans="18:18" x14ac:dyDescent="0.3">
      <c r="R814" s="4">
        <v>0</v>
      </c>
    </row>
    <row r="815" spans="18:18" x14ac:dyDescent="0.3">
      <c r="R815" s="3">
        <v>0</v>
      </c>
    </row>
    <row r="816" spans="18:18" x14ac:dyDescent="0.3">
      <c r="R816" s="4">
        <v>0</v>
      </c>
    </row>
    <row r="817" spans="18:18" x14ac:dyDescent="0.3">
      <c r="R817" s="3">
        <v>0</v>
      </c>
    </row>
    <row r="818" spans="18:18" x14ac:dyDescent="0.3">
      <c r="R818" s="4">
        <v>0</v>
      </c>
    </row>
    <row r="819" spans="18:18" x14ac:dyDescent="0.3">
      <c r="R819" s="3">
        <v>0</v>
      </c>
    </row>
    <row r="820" spans="18:18" x14ac:dyDescent="0.3">
      <c r="R820" s="4">
        <v>0</v>
      </c>
    </row>
    <row r="821" spans="18:18" x14ac:dyDescent="0.3">
      <c r="R821" s="3">
        <v>0</v>
      </c>
    </row>
    <row r="822" spans="18:18" x14ac:dyDescent="0.3">
      <c r="R822" s="4">
        <v>0</v>
      </c>
    </row>
    <row r="824" spans="18:18" x14ac:dyDescent="0.3">
      <c r="R824" s="3"/>
    </row>
    <row r="825" spans="18:18" x14ac:dyDescent="0.3">
      <c r="R825" s="4"/>
    </row>
    <row r="826" spans="18:18" x14ac:dyDescent="0.3">
      <c r="R826" s="3"/>
    </row>
    <row r="827" spans="18:18" x14ac:dyDescent="0.3">
      <c r="R827" s="4"/>
    </row>
    <row r="828" spans="18:18" x14ac:dyDescent="0.3">
      <c r="R828" s="3"/>
    </row>
    <row r="829" spans="18:18" x14ac:dyDescent="0.3">
      <c r="R829" s="4"/>
    </row>
    <row r="830" spans="18:18" x14ac:dyDescent="0.3">
      <c r="R830" s="3"/>
    </row>
    <row r="831" spans="18:18" x14ac:dyDescent="0.3">
      <c r="R831" s="4"/>
    </row>
    <row r="832" spans="18:18" x14ac:dyDescent="0.3">
      <c r="R832" s="3"/>
    </row>
    <row r="833" spans="18:18" x14ac:dyDescent="0.3">
      <c r="R833" s="4"/>
    </row>
    <row r="834" spans="18:18" x14ac:dyDescent="0.3">
      <c r="R834" s="3"/>
    </row>
    <row r="835" spans="18:18" x14ac:dyDescent="0.3">
      <c r="R835" s="4"/>
    </row>
    <row r="836" spans="18:18" x14ac:dyDescent="0.3">
      <c r="R836" s="3"/>
    </row>
    <row r="837" spans="18:18" x14ac:dyDescent="0.3">
      <c r="R837" s="4"/>
    </row>
    <row r="838" spans="18:18" x14ac:dyDescent="0.3">
      <c r="R838" s="3"/>
    </row>
    <row r="839" spans="18:18" x14ac:dyDescent="0.3">
      <c r="R839" s="4"/>
    </row>
    <row r="840" spans="18:18" x14ac:dyDescent="0.3">
      <c r="R840" s="3"/>
    </row>
    <row r="841" spans="18:18" x14ac:dyDescent="0.3">
      <c r="R841" s="4"/>
    </row>
    <row r="842" spans="18:18" x14ac:dyDescent="0.3">
      <c r="R842" s="3"/>
    </row>
    <row r="843" spans="18:18" x14ac:dyDescent="0.3">
      <c r="R843" s="4"/>
    </row>
    <row r="844" spans="18:18" x14ac:dyDescent="0.3">
      <c r="R844" s="3"/>
    </row>
    <row r="845" spans="18:18" x14ac:dyDescent="0.3">
      <c r="R845" s="4"/>
    </row>
    <row r="846" spans="18:18" x14ac:dyDescent="0.3">
      <c r="R846" s="3"/>
    </row>
    <row r="847" spans="18:18" x14ac:dyDescent="0.3">
      <c r="R847" s="4"/>
    </row>
    <row r="848" spans="18:18" x14ac:dyDescent="0.3">
      <c r="R848" s="3"/>
    </row>
    <row r="849" spans="18:18" x14ac:dyDescent="0.3">
      <c r="R849" s="4"/>
    </row>
    <row r="850" spans="18:18" x14ac:dyDescent="0.3">
      <c r="R850" s="3"/>
    </row>
    <row r="851" spans="18:18" x14ac:dyDescent="0.3">
      <c r="R851" s="4"/>
    </row>
    <row r="852" spans="18:18" x14ac:dyDescent="0.3">
      <c r="R852" s="3"/>
    </row>
    <row r="853" spans="18:18" x14ac:dyDescent="0.3">
      <c r="R853" s="4"/>
    </row>
    <row r="854" spans="18:18" x14ac:dyDescent="0.3">
      <c r="R854" s="3"/>
    </row>
    <row r="855" spans="18:18" x14ac:dyDescent="0.3">
      <c r="R855" s="4"/>
    </row>
    <row r="856" spans="18:18" x14ac:dyDescent="0.3">
      <c r="R856" s="3"/>
    </row>
    <row r="857" spans="18:18" x14ac:dyDescent="0.3">
      <c r="R857" s="4"/>
    </row>
    <row r="858" spans="18:18" x14ac:dyDescent="0.3">
      <c r="R858" s="3"/>
    </row>
    <row r="859" spans="18:18" x14ac:dyDescent="0.3">
      <c r="R859" s="4"/>
    </row>
    <row r="860" spans="18:18" x14ac:dyDescent="0.3">
      <c r="R860" s="3"/>
    </row>
    <row r="861" spans="18:18" x14ac:dyDescent="0.3">
      <c r="R861" s="4"/>
    </row>
    <row r="862" spans="18:18" x14ac:dyDescent="0.3">
      <c r="R862" s="3"/>
    </row>
    <row r="863" spans="18:18" x14ac:dyDescent="0.3">
      <c r="R863" s="4"/>
    </row>
    <row r="864" spans="18:18" x14ac:dyDescent="0.3">
      <c r="R864" s="3"/>
    </row>
    <row r="865" spans="18:18" x14ac:dyDescent="0.3">
      <c r="R865" s="4"/>
    </row>
    <row r="866" spans="18:18" x14ac:dyDescent="0.3">
      <c r="R866" s="3"/>
    </row>
    <row r="867" spans="18:18" x14ac:dyDescent="0.3">
      <c r="R867" s="4"/>
    </row>
    <row r="868" spans="18:18" x14ac:dyDescent="0.3">
      <c r="R868" s="3"/>
    </row>
    <row r="869" spans="18:18" x14ac:dyDescent="0.3">
      <c r="R869" s="4"/>
    </row>
    <row r="870" spans="18:18" x14ac:dyDescent="0.3">
      <c r="R870" s="3"/>
    </row>
    <row r="871" spans="18:18" x14ac:dyDescent="0.3">
      <c r="R871" s="4"/>
    </row>
    <row r="872" spans="18:18" x14ac:dyDescent="0.3">
      <c r="R872" s="3"/>
    </row>
    <row r="873" spans="18:18" x14ac:dyDescent="0.3">
      <c r="R873" s="4"/>
    </row>
    <row r="874" spans="18:18" x14ac:dyDescent="0.3">
      <c r="R874" s="3"/>
    </row>
    <row r="875" spans="18:18" x14ac:dyDescent="0.3">
      <c r="R875" s="4"/>
    </row>
    <row r="876" spans="18:18" x14ac:dyDescent="0.3">
      <c r="R876" s="3"/>
    </row>
    <row r="877" spans="18:18" x14ac:dyDescent="0.3">
      <c r="R877" s="4"/>
    </row>
    <row r="878" spans="18:18" x14ac:dyDescent="0.3">
      <c r="R878" s="3"/>
    </row>
    <row r="879" spans="18:18" x14ac:dyDescent="0.3">
      <c r="R879" s="4"/>
    </row>
    <row r="880" spans="18:18" x14ac:dyDescent="0.3">
      <c r="R880" s="3"/>
    </row>
    <row r="881" spans="18:18" x14ac:dyDescent="0.3">
      <c r="R881" s="4"/>
    </row>
    <row r="882" spans="18:18" x14ac:dyDescent="0.3">
      <c r="R882" s="3"/>
    </row>
    <row r="883" spans="18:18" x14ac:dyDescent="0.3">
      <c r="R883" s="4"/>
    </row>
    <row r="884" spans="18:18" x14ac:dyDescent="0.3">
      <c r="R884" s="3"/>
    </row>
    <row r="885" spans="18:18" x14ac:dyDescent="0.3">
      <c r="R885" s="4"/>
    </row>
    <row r="886" spans="18:18" x14ac:dyDescent="0.3">
      <c r="R886" s="3"/>
    </row>
    <row r="887" spans="18:18" x14ac:dyDescent="0.3">
      <c r="R887" s="4"/>
    </row>
    <row r="888" spans="18:18" x14ac:dyDescent="0.3">
      <c r="R888" s="3"/>
    </row>
    <row r="889" spans="18:18" x14ac:dyDescent="0.3">
      <c r="R889" s="4"/>
    </row>
    <row r="890" spans="18:18" x14ac:dyDescent="0.3">
      <c r="R890" s="3"/>
    </row>
    <row r="891" spans="18:18" x14ac:dyDescent="0.3">
      <c r="R891" s="4"/>
    </row>
    <row r="892" spans="18:18" x14ac:dyDescent="0.3">
      <c r="R892" s="3"/>
    </row>
    <row r="893" spans="18:18" x14ac:dyDescent="0.3">
      <c r="R893" s="4"/>
    </row>
    <row r="894" spans="18:18" x14ac:dyDescent="0.3">
      <c r="R894" s="3"/>
    </row>
    <row r="895" spans="18:18" x14ac:dyDescent="0.3">
      <c r="R895" s="4"/>
    </row>
    <row r="896" spans="18:18" x14ac:dyDescent="0.3">
      <c r="R896" s="3"/>
    </row>
    <row r="897" spans="18:18" x14ac:dyDescent="0.3">
      <c r="R897" s="4"/>
    </row>
    <row r="898" spans="18:18" x14ac:dyDescent="0.3">
      <c r="R898" s="3"/>
    </row>
    <row r="899" spans="18:18" x14ac:dyDescent="0.3">
      <c r="R899" s="4"/>
    </row>
    <row r="900" spans="18:18" x14ac:dyDescent="0.3">
      <c r="R900" s="3"/>
    </row>
    <row r="901" spans="18:18" x14ac:dyDescent="0.3">
      <c r="R901" s="4"/>
    </row>
    <row r="902" spans="18:18" x14ac:dyDescent="0.3">
      <c r="R902" s="3"/>
    </row>
    <row r="903" spans="18:18" x14ac:dyDescent="0.3">
      <c r="R903" s="4"/>
    </row>
    <row r="904" spans="18:18" x14ac:dyDescent="0.3">
      <c r="R904" s="3"/>
    </row>
    <row r="905" spans="18:18" x14ac:dyDescent="0.3">
      <c r="R905" s="4"/>
    </row>
    <row r="906" spans="18:18" x14ac:dyDescent="0.3">
      <c r="R906" s="3"/>
    </row>
    <row r="907" spans="18:18" x14ac:dyDescent="0.3">
      <c r="R907" s="4"/>
    </row>
    <row r="908" spans="18:18" x14ac:dyDescent="0.3">
      <c r="R908" s="3"/>
    </row>
    <row r="909" spans="18:18" x14ac:dyDescent="0.3">
      <c r="R909" s="4"/>
    </row>
    <row r="910" spans="18:18" x14ac:dyDescent="0.3">
      <c r="R910" s="3"/>
    </row>
    <row r="911" spans="18:18" x14ac:dyDescent="0.3">
      <c r="R911" s="4"/>
    </row>
    <row r="912" spans="18:18" x14ac:dyDescent="0.3">
      <c r="R912" s="3"/>
    </row>
    <row r="913" spans="18:18" x14ac:dyDescent="0.3">
      <c r="R913" s="4"/>
    </row>
    <row r="914" spans="18:18" x14ac:dyDescent="0.3">
      <c r="R914" s="3"/>
    </row>
    <row r="915" spans="18:18" x14ac:dyDescent="0.3">
      <c r="R915" s="4"/>
    </row>
    <row r="916" spans="18:18" x14ac:dyDescent="0.3">
      <c r="R916" s="3"/>
    </row>
    <row r="917" spans="18:18" x14ac:dyDescent="0.3">
      <c r="R917" s="4"/>
    </row>
    <row r="918" spans="18:18" x14ac:dyDescent="0.3">
      <c r="R918" s="3"/>
    </row>
    <row r="919" spans="18:18" x14ac:dyDescent="0.3">
      <c r="R919" s="4"/>
    </row>
    <row r="920" spans="18:18" x14ac:dyDescent="0.3">
      <c r="R920" s="3"/>
    </row>
    <row r="921" spans="18:18" x14ac:dyDescent="0.3">
      <c r="R921" s="4"/>
    </row>
    <row r="922" spans="18:18" x14ac:dyDescent="0.3">
      <c r="R922" s="3"/>
    </row>
    <row r="923" spans="18:18" x14ac:dyDescent="0.3">
      <c r="R923" s="4"/>
    </row>
    <row r="924" spans="18:18" x14ac:dyDescent="0.3">
      <c r="R924" s="3"/>
    </row>
    <row r="925" spans="18:18" x14ac:dyDescent="0.3">
      <c r="R925" s="4"/>
    </row>
    <row r="926" spans="18:18" x14ac:dyDescent="0.3">
      <c r="R926" s="3"/>
    </row>
    <row r="927" spans="18:18" x14ac:dyDescent="0.3">
      <c r="R927" s="4"/>
    </row>
    <row r="928" spans="18:18" x14ac:dyDescent="0.3">
      <c r="R928" s="3"/>
    </row>
    <row r="929" spans="18:18" x14ac:dyDescent="0.3">
      <c r="R929" s="4"/>
    </row>
    <row r="930" spans="18:18" x14ac:dyDescent="0.3">
      <c r="R930" s="3"/>
    </row>
    <row r="931" spans="18:18" x14ac:dyDescent="0.3">
      <c r="R931" s="4"/>
    </row>
    <row r="932" spans="18:18" x14ac:dyDescent="0.3">
      <c r="R932" s="3"/>
    </row>
    <row r="933" spans="18:18" x14ac:dyDescent="0.3">
      <c r="R933" s="4"/>
    </row>
    <row r="934" spans="18:18" x14ac:dyDescent="0.3">
      <c r="R934" s="3"/>
    </row>
    <row r="935" spans="18:18" x14ac:dyDescent="0.3">
      <c r="R935" s="4"/>
    </row>
    <row r="936" spans="18:18" x14ac:dyDescent="0.3">
      <c r="R936" s="3"/>
    </row>
    <row r="937" spans="18:18" x14ac:dyDescent="0.3">
      <c r="R937" s="4"/>
    </row>
    <row r="938" spans="18:18" x14ac:dyDescent="0.3">
      <c r="R938" s="3"/>
    </row>
    <row r="939" spans="18:18" x14ac:dyDescent="0.3">
      <c r="R939" s="4"/>
    </row>
    <row r="940" spans="18:18" x14ac:dyDescent="0.3">
      <c r="R940" s="3"/>
    </row>
    <row r="941" spans="18:18" x14ac:dyDescent="0.3">
      <c r="R941" s="4"/>
    </row>
    <row r="942" spans="18:18" x14ac:dyDescent="0.3">
      <c r="R942" s="3"/>
    </row>
    <row r="943" spans="18:18" x14ac:dyDescent="0.3">
      <c r="R943" s="4"/>
    </row>
    <row r="944" spans="18:18" x14ac:dyDescent="0.3">
      <c r="R944" s="3"/>
    </row>
    <row r="945" spans="18:18" x14ac:dyDescent="0.3">
      <c r="R945" s="4"/>
    </row>
    <row r="946" spans="18:18" x14ac:dyDescent="0.3">
      <c r="R946" s="3"/>
    </row>
    <row r="947" spans="18:18" x14ac:dyDescent="0.3">
      <c r="R947" s="4"/>
    </row>
    <row r="948" spans="18:18" x14ac:dyDescent="0.3">
      <c r="R948" s="3"/>
    </row>
    <row r="949" spans="18:18" x14ac:dyDescent="0.3">
      <c r="R949" s="4"/>
    </row>
    <row r="950" spans="18:18" x14ac:dyDescent="0.3">
      <c r="R950" s="3"/>
    </row>
    <row r="951" spans="18:18" x14ac:dyDescent="0.3">
      <c r="R951" s="4"/>
    </row>
    <row r="952" spans="18:18" x14ac:dyDescent="0.3">
      <c r="R952" s="3"/>
    </row>
    <row r="953" spans="18:18" x14ac:dyDescent="0.3">
      <c r="R953" s="4"/>
    </row>
    <row r="954" spans="18:18" x14ac:dyDescent="0.3">
      <c r="R954" s="3"/>
    </row>
    <row r="955" spans="18:18" x14ac:dyDescent="0.3">
      <c r="R955" s="4"/>
    </row>
    <row r="956" spans="18:18" x14ac:dyDescent="0.3">
      <c r="R956" s="3"/>
    </row>
    <row r="957" spans="18:18" x14ac:dyDescent="0.3">
      <c r="R957" s="4"/>
    </row>
    <row r="958" spans="18:18" x14ac:dyDescent="0.3">
      <c r="R958" s="3"/>
    </row>
    <row r="959" spans="18:18" x14ac:dyDescent="0.3">
      <c r="R959" s="4"/>
    </row>
    <row r="960" spans="18:18" x14ac:dyDescent="0.3">
      <c r="R960" s="3"/>
    </row>
    <row r="961" spans="18:18" x14ac:dyDescent="0.3">
      <c r="R961" s="4"/>
    </row>
    <row r="962" spans="18:18" x14ac:dyDescent="0.3">
      <c r="R962" s="3"/>
    </row>
    <row r="963" spans="18:18" x14ac:dyDescent="0.3">
      <c r="R963" s="4"/>
    </row>
    <row r="964" spans="18:18" x14ac:dyDescent="0.3">
      <c r="R964" s="3"/>
    </row>
    <row r="965" spans="18:18" x14ac:dyDescent="0.3">
      <c r="R965" s="4"/>
    </row>
    <row r="966" spans="18:18" x14ac:dyDescent="0.3">
      <c r="R966" s="3"/>
    </row>
    <row r="967" spans="18:18" x14ac:dyDescent="0.3">
      <c r="R967" s="4"/>
    </row>
    <row r="968" spans="18:18" x14ac:dyDescent="0.3">
      <c r="R968" s="3"/>
    </row>
    <row r="969" spans="18:18" x14ac:dyDescent="0.3">
      <c r="R969" s="4"/>
    </row>
    <row r="970" spans="18:18" x14ac:dyDescent="0.3">
      <c r="R970" s="3"/>
    </row>
    <row r="971" spans="18:18" x14ac:dyDescent="0.3">
      <c r="R971" s="4"/>
    </row>
    <row r="972" spans="18:18" x14ac:dyDescent="0.3">
      <c r="R972" s="3"/>
    </row>
    <row r="973" spans="18:18" x14ac:dyDescent="0.3">
      <c r="R973" s="4"/>
    </row>
    <row r="974" spans="18:18" x14ac:dyDescent="0.3">
      <c r="R974" s="3"/>
    </row>
    <row r="975" spans="18:18" x14ac:dyDescent="0.3">
      <c r="R975" s="4"/>
    </row>
    <row r="976" spans="18:18" x14ac:dyDescent="0.3">
      <c r="R976" s="3"/>
    </row>
    <row r="977" spans="18:18" x14ac:dyDescent="0.3">
      <c r="R977" s="4"/>
    </row>
    <row r="978" spans="18:18" x14ac:dyDescent="0.3">
      <c r="R978" s="3"/>
    </row>
    <row r="979" spans="18:18" x14ac:dyDescent="0.3">
      <c r="R979" s="4"/>
    </row>
    <row r="980" spans="18:18" x14ac:dyDescent="0.3">
      <c r="R980" s="3"/>
    </row>
    <row r="981" spans="18:18" x14ac:dyDescent="0.3">
      <c r="R981" s="4"/>
    </row>
    <row r="982" spans="18:18" x14ac:dyDescent="0.3">
      <c r="R982" s="3"/>
    </row>
    <row r="983" spans="18:18" x14ac:dyDescent="0.3">
      <c r="R983" s="4"/>
    </row>
    <row r="984" spans="18:18" x14ac:dyDescent="0.3">
      <c r="R984" s="3"/>
    </row>
    <row r="985" spans="18:18" x14ac:dyDescent="0.3">
      <c r="R985" s="4"/>
    </row>
    <row r="986" spans="18:18" x14ac:dyDescent="0.3">
      <c r="R986" s="3"/>
    </row>
    <row r="987" spans="18:18" x14ac:dyDescent="0.3">
      <c r="R987" s="4"/>
    </row>
    <row r="988" spans="18:18" x14ac:dyDescent="0.3">
      <c r="R988" s="3"/>
    </row>
    <row r="989" spans="18:18" x14ac:dyDescent="0.3">
      <c r="R989" s="4"/>
    </row>
    <row r="990" spans="18:18" x14ac:dyDescent="0.3">
      <c r="R990" s="3"/>
    </row>
    <row r="991" spans="18:18" x14ac:dyDescent="0.3">
      <c r="R991" s="4"/>
    </row>
    <row r="992" spans="18:18" x14ac:dyDescent="0.3">
      <c r="R992" s="3"/>
    </row>
    <row r="993" spans="18:18" x14ac:dyDescent="0.3">
      <c r="R993" s="4"/>
    </row>
    <row r="994" spans="18:18" x14ac:dyDescent="0.3">
      <c r="R994" s="3"/>
    </row>
    <row r="995" spans="18:18" x14ac:dyDescent="0.3">
      <c r="R995" s="4"/>
    </row>
    <row r="996" spans="18:18" x14ac:dyDescent="0.3">
      <c r="R996" s="3"/>
    </row>
    <row r="997" spans="18:18" x14ac:dyDescent="0.3">
      <c r="R997" s="4"/>
    </row>
    <row r="998" spans="18:18" x14ac:dyDescent="0.3">
      <c r="R998" s="3"/>
    </row>
    <row r="999" spans="18:18" x14ac:dyDescent="0.3">
      <c r="R999" s="4"/>
    </row>
    <row r="1000" spans="18:18" x14ac:dyDescent="0.3">
      <c r="R1000" s="3"/>
    </row>
    <row r="1001" spans="18:18" x14ac:dyDescent="0.3">
      <c r="R1001" s="4"/>
    </row>
    <row r="1002" spans="18:18" x14ac:dyDescent="0.3">
      <c r="R1002" s="3"/>
    </row>
    <row r="1003" spans="18:18" x14ac:dyDescent="0.3">
      <c r="R1003" s="4"/>
    </row>
    <row r="1004" spans="18:18" x14ac:dyDescent="0.3">
      <c r="R1004" s="3"/>
    </row>
    <row r="1005" spans="18:18" x14ac:dyDescent="0.3">
      <c r="R1005" s="4"/>
    </row>
    <row r="1006" spans="18:18" x14ac:dyDescent="0.3">
      <c r="R1006" s="3"/>
    </row>
    <row r="1007" spans="18:18" x14ac:dyDescent="0.3">
      <c r="R1007" s="4"/>
    </row>
    <row r="1008" spans="18:18" x14ac:dyDescent="0.3">
      <c r="R1008" s="3"/>
    </row>
    <row r="1009" spans="18:18" x14ac:dyDescent="0.3">
      <c r="R1009" s="4"/>
    </row>
    <row r="1010" spans="18:18" x14ac:dyDescent="0.3">
      <c r="R1010" s="3"/>
    </row>
    <row r="1011" spans="18:18" x14ac:dyDescent="0.3">
      <c r="R1011" s="4"/>
    </row>
    <row r="1012" spans="18:18" x14ac:dyDescent="0.3">
      <c r="R1012" s="3"/>
    </row>
    <row r="1013" spans="18:18" x14ac:dyDescent="0.3">
      <c r="R1013" s="4"/>
    </row>
    <row r="1014" spans="18:18" x14ac:dyDescent="0.3">
      <c r="R1014" s="3"/>
    </row>
    <row r="1015" spans="18:18" x14ac:dyDescent="0.3">
      <c r="R1015" s="4"/>
    </row>
    <row r="1016" spans="18:18" x14ac:dyDescent="0.3">
      <c r="R1016" s="3"/>
    </row>
    <row r="1017" spans="18:18" x14ac:dyDescent="0.3">
      <c r="R1017" s="4"/>
    </row>
    <row r="1018" spans="18:18" x14ac:dyDescent="0.3">
      <c r="R1018" s="3"/>
    </row>
    <row r="1019" spans="18:18" x14ac:dyDescent="0.3">
      <c r="R1019" s="4"/>
    </row>
    <row r="1020" spans="18:18" x14ac:dyDescent="0.3">
      <c r="R1020" s="3"/>
    </row>
    <row r="1021" spans="18:18" x14ac:dyDescent="0.3">
      <c r="R1021" s="4"/>
    </row>
    <row r="1022" spans="18:18" x14ac:dyDescent="0.3">
      <c r="R1022" s="3"/>
    </row>
    <row r="1023" spans="18:18" x14ac:dyDescent="0.3">
      <c r="R1023" s="4"/>
    </row>
    <row r="1024" spans="18:18" x14ac:dyDescent="0.3">
      <c r="R1024" s="3"/>
    </row>
    <row r="1025" spans="18:18" x14ac:dyDescent="0.3">
      <c r="R1025" s="4"/>
    </row>
    <row r="1026" spans="18:18" x14ac:dyDescent="0.3">
      <c r="R1026" s="3"/>
    </row>
    <row r="1027" spans="18:18" x14ac:dyDescent="0.3">
      <c r="R1027" s="4"/>
    </row>
    <row r="1028" spans="18:18" x14ac:dyDescent="0.3">
      <c r="R1028" s="3"/>
    </row>
    <row r="1029" spans="18:18" x14ac:dyDescent="0.3">
      <c r="R1029" s="4"/>
    </row>
    <row r="1030" spans="18:18" x14ac:dyDescent="0.3">
      <c r="R1030" s="3"/>
    </row>
    <row r="1031" spans="18:18" x14ac:dyDescent="0.3">
      <c r="R1031" s="4"/>
    </row>
    <row r="1032" spans="18:18" x14ac:dyDescent="0.3">
      <c r="R1032" s="3"/>
    </row>
    <row r="1033" spans="18:18" x14ac:dyDescent="0.3">
      <c r="R1033" s="4"/>
    </row>
    <row r="1034" spans="18:18" x14ac:dyDescent="0.3">
      <c r="R1034" s="3"/>
    </row>
    <row r="1035" spans="18:18" x14ac:dyDescent="0.3">
      <c r="R1035" s="4"/>
    </row>
    <row r="1036" spans="18:18" x14ac:dyDescent="0.3">
      <c r="R1036" s="3"/>
    </row>
    <row r="1037" spans="18:18" x14ac:dyDescent="0.3">
      <c r="R1037" s="4"/>
    </row>
    <row r="1038" spans="18:18" x14ac:dyDescent="0.3">
      <c r="R1038" s="3"/>
    </row>
    <row r="1039" spans="18:18" x14ac:dyDescent="0.3">
      <c r="R1039" s="4"/>
    </row>
    <row r="1040" spans="18:18" x14ac:dyDescent="0.3">
      <c r="R1040" s="3"/>
    </row>
    <row r="1041" spans="18:18" x14ac:dyDescent="0.3">
      <c r="R1041" s="4"/>
    </row>
    <row r="1042" spans="18:18" x14ac:dyDescent="0.3">
      <c r="R1042" s="3"/>
    </row>
    <row r="1043" spans="18:18" x14ac:dyDescent="0.3">
      <c r="R1043" s="4"/>
    </row>
    <row r="1044" spans="18:18" x14ac:dyDescent="0.3">
      <c r="R1044" s="3"/>
    </row>
    <row r="1045" spans="18:18" x14ac:dyDescent="0.3">
      <c r="R1045" s="4"/>
    </row>
    <row r="1046" spans="18:18" x14ac:dyDescent="0.3">
      <c r="R1046" s="3"/>
    </row>
    <row r="1047" spans="18:18" x14ac:dyDescent="0.3">
      <c r="R1047" s="4"/>
    </row>
    <row r="1048" spans="18:18" x14ac:dyDescent="0.3">
      <c r="R1048" s="3"/>
    </row>
    <row r="1049" spans="18:18" x14ac:dyDescent="0.3">
      <c r="R1049" s="4"/>
    </row>
    <row r="1050" spans="18:18" x14ac:dyDescent="0.3">
      <c r="R1050" s="3"/>
    </row>
    <row r="1051" spans="18:18" x14ac:dyDescent="0.3">
      <c r="R1051" s="4"/>
    </row>
    <row r="1052" spans="18:18" x14ac:dyDescent="0.3">
      <c r="R1052" s="3"/>
    </row>
    <row r="1053" spans="18:18" x14ac:dyDescent="0.3">
      <c r="R1053" s="4"/>
    </row>
    <row r="1054" spans="18:18" x14ac:dyDescent="0.3">
      <c r="R1054" s="3"/>
    </row>
    <row r="1055" spans="18:18" x14ac:dyDescent="0.3">
      <c r="R1055" s="4"/>
    </row>
    <row r="1056" spans="18:18" x14ac:dyDescent="0.3">
      <c r="R1056" s="3"/>
    </row>
    <row r="1057" spans="18:18" x14ac:dyDescent="0.3">
      <c r="R1057" s="4"/>
    </row>
    <row r="1058" spans="18:18" x14ac:dyDescent="0.3">
      <c r="R1058" s="3"/>
    </row>
    <row r="1059" spans="18:18" x14ac:dyDescent="0.3">
      <c r="R1059" s="4"/>
    </row>
    <row r="1060" spans="18:18" x14ac:dyDescent="0.3">
      <c r="R1060" s="3"/>
    </row>
    <row r="1061" spans="18:18" x14ac:dyDescent="0.3">
      <c r="R1061" s="4"/>
    </row>
    <row r="1062" spans="18:18" x14ac:dyDescent="0.3">
      <c r="R1062" s="3"/>
    </row>
    <row r="1063" spans="18:18" x14ac:dyDescent="0.3">
      <c r="R1063" s="4"/>
    </row>
    <row r="1064" spans="18:18" x14ac:dyDescent="0.3">
      <c r="R1064" s="3"/>
    </row>
    <row r="1065" spans="18:18" x14ac:dyDescent="0.3">
      <c r="R1065" s="4"/>
    </row>
    <row r="1066" spans="18:18" x14ac:dyDescent="0.3">
      <c r="R1066" s="3"/>
    </row>
    <row r="1067" spans="18:18" x14ac:dyDescent="0.3">
      <c r="R1067" s="4"/>
    </row>
    <row r="1068" spans="18:18" x14ac:dyDescent="0.3">
      <c r="R1068" s="3"/>
    </row>
    <row r="1069" spans="18:18" x14ac:dyDescent="0.3">
      <c r="R1069" s="4"/>
    </row>
    <row r="1070" spans="18:18" x14ac:dyDescent="0.3">
      <c r="R1070" s="3"/>
    </row>
    <row r="1071" spans="18:18" x14ac:dyDescent="0.3">
      <c r="R1071" s="4"/>
    </row>
    <row r="1072" spans="18:18" x14ac:dyDescent="0.3">
      <c r="R1072" s="3"/>
    </row>
    <row r="1073" spans="18:18" x14ac:dyDescent="0.3">
      <c r="R1073" s="4"/>
    </row>
    <row r="1074" spans="18:18" x14ac:dyDescent="0.3">
      <c r="R1074" s="3"/>
    </row>
    <row r="1075" spans="18:18" x14ac:dyDescent="0.3">
      <c r="R1075" s="4"/>
    </row>
    <row r="1076" spans="18:18" x14ac:dyDescent="0.3">
      <c r="R1076" s="3"/>
    </row>
    <row r="1077" spans="18:18" x14ac:dyDescent="0.3">
      <c r="R1077" s="4"/>
    </row>
    <row r="1078" spans="18:18" x14ac:dyDescent="0.3">
      <c r="R1078" s="3"/>
    </row>
    <row r="1079" spans="18:18" x14ac:dyDescent="0.3">
      <c r="R1079" s="4"/>
    </row>
    <row r="1080" spans="18:18" x14ac:dyDescent="0.3">
      <c r="R1080" s="3"/>
    </row>
    <row r="1081" spans="18:18" x14ac:dyDescent="0.3">
      <c r="R1081" s="4"/>
    </row>
    <row r="1082" spans="18:18" x14ac:dyDescent="0.3">
      <c r="R1082" s="3"/>
    </row>
    <row r="1083" spans="18:18" x14ac:dyDescent="0.3">
      <c r="R1083" s="4"/>
    </row>
    <row r="1084" spans="18:18" x14ac:dyDescent="0.3">
      <c r="R1084" s="3"/>
    </row>
    <row r="1085" spans="18:18" x14ac:dyDescent="0.3">
      <c r="R1085" s="4"/>
    </row>
    <row r="1086" spans="18:18" x14ac:dyDescent="0.3">
      <c r="R1086" s="3"/>
    </row>
    <row r="1087" spans="18:18" x14ac:dyDescent="0.3">
      <c r="R1087" s="4"/>
    </row>
    <row r="1088" spans="18:18" x14ac:dyDescent="0.3">
      <c r="R1088" s="3"/>
    </row>
    <row r="1089" spans="18:18" x14ac:dyDescent="0.3">
      <c r="R1089" s="4"/>
    </row>
    <row r="1090" spans="18:18" x14ac:dyDescent="0.3">
      <c r="R1090" s="3"/>
    </row>
    <row r="1091" spans="18:18" x14ac:dyDescent="0.3">
      <c r="R1091" s="4"/>
    </row>
    <row r="1092" spans="18:18" x14ac:dyDescent="0.3">
      <c r="R1092" s="3"/>
    </row>
    <row r="1093" spans="18:18" x14ac:dyDescent="0.3">
      <c r="R1093" s="4"/>
    </row>
    <row r="1094" spans="18:18" x14ac:dyDescent="0.3">
      <c r="R1094" s="3"/>
    </row>
    <row r="1095" spans="18:18" x14ac:dyDescent="0.3">
      <c r="R1095" s="4"/>
    </row>
    <row r="1096" spans="18:18" x14ac:dyDescent="0.3">
      <c r="R1096" s="3"/>
    </row>
    <row r="1097" spans="18:18" x14ac:dyDescent="0.3">
      <c r="R1097" s="4"/>
    </row>
    <row r="1098" spans="18:18" x14ac:dyDescent="0.3">
      <c r="R1098" s="3"/>
    </row>
    <row r="1099" spans="18:18" x14ac:dyDescent="0.3">
      <c r="R1099" s="4"/>
    </row>
    <row r="1100" spans="18:18" x14ac:dyDescent="0.3">
      <c r="R1100" s="3"/>
    </row>
    <row r="1101" spans="18:18" x14ac:dyDescent="0.3">
      <c r="R1101" s="4"/>
    </row>
    <row r="1102" spans="18:18" x14ac:dyDescent="0.3">
      <c r="R1102" s="3"/>
    </row>
    <row r="1103" spans="18:18" x14ac:dyDescent="0.3">
      <c r="R1103" s="4"/>
    </row>
    <row r="1104" spans="18:18" x14ac:dyDescent="0.3">
      <c r="R1104" s="3"/>
    </row>
    <row r="1105" spans="18:18" x14ac:dyDescent="0.3">
      <c r="R1105" s="4"/>
    </row>
    <row r="1106" spans="18:18" x14ac:dyDescent="0.3">
      <c r="R1106" s="3"/>
    </row>
    <row r="1107" spans="18:18" x14ac:dyDescent="0.3">
      <c r="R1107" s="4"/>
    </row>
    <row r="1108" spans="18:18" x14ac:dyDescent="0.3">
      <c r="R1108" s="3"/>
    </row>
    <row r="1109" spans="18:18" x14ac:dyDescent="0.3">
      <c r="R1109" s="4"/>
    </row>
    <row r="1110" spans="18:18" x14ac:dyDescent="0.3">
      <c r="R1110" s="3"/>
    </row>
    <row r="1111" spans="18:18" x14ac:dyDescent="0.3">
      <c r="R1111" s="4"/>
    </row>
    <row r="1112" spans="18:18" x14ac:dyDescent="0.3">
      <c r="R1112" s="3"/>
    </row>
    <row r="1113" spans="18:18" x14ac:dyDescent="0.3">
      <c r="R1113" s="4"/>
    </row>
    <row r="1114" spans="18:18" x14ac:dyDescent="0.3">
      <c r="R1114" s="3"/>
    </row>
    <row r="1115" spans="18:18" x14ac:dyDescent="0.3">
      <c r="R1115" s="4"/>
    </row>
    <row r="1116" spans="18:18" x14ac:dyDescent="0.3">
      <c r="R1116" s="3"/>
    </row>
    <row r="1117" spans="18:18" x14ac:dyDescent="0.3">
      <c r="R1117" s="4"/>
    </row>
    <row r="1118" spans="18:18" x14ac:dyDescent="0.3">
      <c r="R1118" s="3"/>
    </row>
    <row r="1119" spans="18:18" x14ac:dyDescent="0.3">
      <c r="R1119" s="4"/>
    </row>
    <row r="1120" spans="18:18" x14ac:dyDescent="0.3">
      <c r="R1120" s="3"/>
    </row>
    <row r="1121" spans="18:18" x14ac:dyDescent="0.3">
      <c r="R1121" s="4"/>
    </row>
    <row r="1122" spans="18:18" x14ac:dyDescent="0.3">
      <c r="R1122" s="3"/>
    </row>
    <row r="1123" spans="18:18" x14ac:dyDescent="0.3">
      <c r="R1123" s="4"/>
    </row>
    <row r="1124" spans="18:18" x14ac:dyDescent="0.3">
      <c r="R1124" s="3"/>
    </row>
    <row r="1125" spans="18:18" x14ac:dyDescent="0.3">
      <c r="R1125" s="4"/>
    </row>
    <row r="1126" spans="18:18" x14ac:dyDescent="0.3">
      <c r="R1126" s="3"/>
    </row>
    <row r="1127" spans="18:18" x14ac:dyDescent="0.3">
      <c r="R1127" s="4"/>
    </row>
    <row r="1128" spans="18:18" x14ac:dyDescent="0.3">
      <c r="R1128" s="3"/>
    </row>
    <row r="1129" spans="18:18" x14ac:dyDescent="0.3">
      <c r="R1129" s="4"/>
    </row>
    <row r="1130" spans="18:18" x14ac:dyDescent="0.3">
      <c r="R1130" s="3"/>
    </row>
    <row r="1131" spans="18:18" x14ac:dyDescent="0.3">
      <c r="R1131" s="4"/>
    </row>
    <row r="1132" spans="18:18" x14ac:dyDescent="0.3">
      <c r="R1132" s="3"/>
    </row>
    <row r="1133" spans="18:18" x14ac:dyDescent="0.3">
      <c r="R1133" s="4"/>
    </row>
    <row r="1134" spans="18:18" x14ac:dyDescent="0.3">
      <c r="R1134" s="3"/>
    </row>
    <row r="1135" spans="18:18" x14ac:dyDescent="0.3">
      <c r="R1135" s="4"/>
    </row>
    <row r="1136" spans="18:18" x14ac:dyDescent="0.3">
      <c r="R1136" s="3"/>
    </row>
    <row r="1137" spans="18:18" x14ac:dyDescent="0.3">
      <c r="R1137" s="4"/>
    </row>
    <row r="1138" spans="18:18" x14ac:dyDescent="0.3">
      <c r="R1138" s="3"/>
    </row>
    <row r="1139" spans="18:18" x14ac:dyDescent="0.3">
      <c r="R1139" s="4"/>
    </row>
    <row r="1140" spans="18:18" x14ac:dyDescent="0.3">
      <c r="R1140" s="3"/>
    </row>
    <row r="1141" spans="18:18" x14ac:dyDescent="0.3">
      <c r="R1141" s="4"/>
    </row>
    <row r="1142" spans="18:18" x14ac:dyDescent="0.3">
      <c r="R1142" s="3"/>
    </row>
    <row r="1143" spans="18:18" x14ac:dyDescent="0.3">
      <c r="R1143" s="4"/>
    </row>
    <row r="1144" spans="18:18" x14ac:dyDescent="0.3">
      <c r="R1144" s="3"/>
    </row>
    <row r="1145" spans="18:18" x14ac:dyDescent="0.3">
      <c r="R1145" s="4"/>
    </row>
    <row r="1146" spans="18:18" x14ac:dyDescent="0.3">
      <c r="R1146" s="3"/>
    </row>
    <row r="1147" spans="18:18" x14ac:dyDescent="0.3">
      <c r="R1147" s="4"/>
    </row>
    <row r="1148" spans="18:18" x14ac:dyDescent="0.3">
      <c r="R1148" s="3"/>
    </row>
    <row r="1149" spans="18:18" x14ac:dyDescent="0.3">
      <c r="R1149" s="4"/>
    </row>
    <row r="1150" spans="18:18" x14ac:dyDescent="0.3">
      <c r="R1150" s="3"/>
    </row>
    <row r="1151" spans="18:18" x14ac:dyDescent="0.3">
      <c r="R1151" s="4"/>
    </row>
    <row r="1152" spans="18:18" x14ac:dyDescent="0.3">
      <c r="R1152" s="3"/>
    </row>
    <row r="1153" spans="18:18" x14ac:dyDescent="0.3">
      <c r="R1153" s="4"/>
    </row>
    <row r="1154" spans="18:18" x14ac:dyDescent="0.3">
      <c r="R1154" s="3"/>
    </row>
    <row r="1155" spans="18:18" x14ac:dyDescent="0.3">
      <c r="R1155" s="4"/>
    </row>
    <row r="1156" spans="18:18" x14ac:dyDescent="0.3">
      <c r="R1156" s="3"/>
    </row>
    <row r="1157" spans="18:18" x14ac:dyDescent="0.3">
      <c r="R1157" s="4"/>
    </row>
    <row r="1158" spans="18:18" x14ac:dyDescent="0.3">
      <c r="R1158" s="3"/>
    </row>
    <row r="1159" spans="18:18" x14ac:dyDescent="0.3">
      <c r="R1159" s="4"/>
    </row>
    <row r="1160" spans="18:18" x14ac:dyDescent="0.3">
      <c r="R1160" s="3"/>
    </row>
    <row r="1161" spans="18:18" x14ac:dyDescent="0.3">
      <c r="R1161" s="4"/>
    </row>
    <row r="1162" spans="18:18" x14ac:dyDescent="0.3">
      <c r="R1162" s="3"/>
    </row>
    <row r="1163" spans="18:18" x14ac:dyDescent="0.3">
      <c r="R1163" s="4"/>
    </row>
    <row r="1164" spans="18:18" x14ac:dyDescent="0.3">
      <c r="R1164" s="3"/>
    </row>
    <row r="1165" spans="18:18" x14ac:dyDescent="0.3">
      <c r="R1165" s="4"/>
    </row>
    <row r="1166" spans="18:18" x14ac:dyDescent="0.3">
      <c r="R1166" s="3"/>
    </row>
    <row r="1167" spans="18:18" x14ac:dyDescent="0.3">
      <c r="R1167" s="4"/>
    </row>
    <row r="1168" spans="18:18" x14ac:dyDescent="0.3">
      <c r="R1168" s="3"/>
    </row>
    <row r="1169" spans="18:18" x14ac:dyDescent="0.3">
      <c r="R1169" s="4"/>
    </row>
    <row r="1170" spans="18:18" x14ac:dyDescent="0.3">
      <c r="R1170" s="3"/>
    </row>
    <row r="1171" spans="18:18" x14ac:dyDescent="0.3">
      <c r="R1171" s="4"/>
    </row>
    <row r="1172" spans="18:18" x14ac:dyDescent="0.3">
      <c r="R1172" s="3"/>
    </row>
    <row r="1173" spans="18:18" x14ac:dyDescent="0.3">
      <c r="R1173" s="4"/>
    </row>
    <row r="1174" spans="18:18" x14ac:dyDescent="0.3">
      <c r="R1174" s="3"/>
    </row>
    <row r="1175" spans="18:18" x14ac:dyDescent="0.3">
      <c r="R1175" s="4"/>
    </row>
    <row r="1176" spans="18:18" x14ac:dyDescent="0.3">
      <c r="R1176" s="3"/>
    </row>
    <row r="1177" spans="18:18" x14ac:dyDescent="0.3">
      <c r="R1177" s="4"/>
    </row>
    <row r="1178" spans="18:18" x14ac:dyDescent="0.3">
      <c r="R1178" s="3"/>
    </row>
    <row r="1179" spans="18:18" x14ac:dyDescent="0.3">
      <c r="R1179" s="4"/>
    </row>
    <row r="1180" spans="18:18" x14ac:dyDescent="0.3">
      <c r="R1180" s="3"/>
    </row>
    <row r="1181" spans="18:18" x14ac:dyDescent="0.3">
      <c r="R1181" s="4"/>
    </row>
    <row r="1182" spans="18:18" x14ac:dyDescent="0.3">
      <c r="R1182" s="3"/>
    </row>
    <row r="1183" spans="18:18" x14ac:dyDescent="0.3">
      <c r="R1183" s="4"/>
    </row>
    <row r="1184" spans="18:18" x14ac:dyDescent="0.3">
      <c r="R1184" s="3"/>
    </row>
    <row r="1185" spans="18:18" x14ac:dyDescent="0.3">
      <c r="R1185" s="4"/>
    </row>
    <row r="1186" spans="18:18" x14ac:dyDescent="0.3">
      <c r="R1186" s="3"/>
    </row>
    <row r="1187" spans="18:18" x14ac:dyDescent="0.3">
      <c r="R1187" s="4"/>
    </row>
    <row r="1188" spans="18:18" x14ac:dyDescent="0.3">
      <c r="R1188" s="3"/>
    </row>
    <row r="1189" spans="18:18" x14ac:dyDescent="0.3">
      <c r="R1189" s="4"/>
    </row>
    <row r="1190" spans="18:18" x14ac:dyDescent="0.3">
      <c r="R1190" s="3"/>
    </row>
    <row r="1191" spans="18:18" x14ac:dyDescent="0.3">
      <c r="R1191" s="4"/>
    </row>
    <row r="1192" spans="18:18" x14ac:dyDescent="0.3">
      <c r="R1192" s="3"/>
    </row>
    <row r="1193" spans="18:18" x14ac:dyDescent="0.3">
      <c r="R1193" s="4"/>
    </row>
    <row r="1194" spans="18:18" x14ac:dyDescent="0.3">
      <c r="R1194" s="3"/>
    </row>
    <row r="1195" spans="18:18" x14ac:dyDescent="0.3">
      <c r="R1195" s="4"/>
    </row>
    <row r="1196" spans="18:18" x14ac:dyDescent="0.3">
      <c r="R1196" s="3"/>
    </row>
    <row r="1197" spans="18:18" x14ac:dyDescent="0.3">
      <c r="R1197" s="4"/>
    </row>
    <row r="1198" spans="18:18" x14ac:dyDescent="0.3">
      <c r="R1198" s="3"/>
    </row>
    <row r="1199" spans="18:18" x14ac:dyDescent="0.3">
      <c r="R1199" s="4"/>
    </row>
    <row r="1200" spans="18:18" x14ac:dyDescent="0.3">
      <c r="R1200" s="3"/>
    </row>
    <row r="1201" spans="18:18" x14ac:dyDescent="0.3">
      <c r="R1201" s="4"/>
    </row>
    <row r="1202" spans="18:18" x14ac:dyDescent="0.3">
      <c r="R1202" s="3"/>
    </row>
    <row r="1203" spans="18:18" x14ac:dyDescent="0.3">
      <c r="R1203" s="4"/>
    </row>
    <row r="1204" spans="18:18" x14ac:dyDescent="0.3">
      <c r="R1204" s="3"/>
    </row>
    <row r="1205" spans="18:18" x14ac:dyDescent="0.3">
      <c r="R1205" s="4"/>
    </row>
    <row r="1206" spans="18:18" x14ac:dyDescent="0.3">
      <c r="R1206" s="3"/>
    </row>
    <row r="1207" spans="18:18" x14ac:dyDescent="0.3">
      <c r="R1207" s="4"/>
    </row>
    <row r="1208" spans="18:18" x14ac:dyDescent="0.3">
      <c r="R1208" s="3"/>
    </row>
    <row r="1209" spans="18:18" x14ac:dyDescent="0.3">
      <c r="R1209" s="4"/>
    </row>
    <row r="1210" spans="18:18" x14ac:dyDescent="0.3">
      <c r="R1210" s="3"/>
    </row>
    <row r="1211" spans="18:18" x14ac:dyDescent="0.3">
      <c r="R1211" s="4"/>
    </row>
    <row r="1212" spans="18:18" x14ac:dyDescent="0.3">
      <c r="R1212" s="3"/>
    </row>
    <row r="1213" spans="18:18" x14ac:dyDescent="0.3">
      <c r="R1213" s="4"/>
    </row>
    <row r="1214" spans="18:18" x14ac:dyDescent="0.3">
      <c r="R1214" s="3"/>
    </row>
    <row r="1215" spans="18:18" x14ac:dyDescent="0.3">
      <c r="R1215" s="4"/>
    </row>
    <row r="1216" spans="18:18" x14ac:dyDescent="0.3">
      <c r="R1216" s="3"/>
    </row>
    <row r="1217" spans="18:18" x14ac:dyDescent="0.3">
      <c r="R1217" s="4"/>
    </row>
    <row r="1218" spans="18:18" x14ac:dyDescent="0.3">
      <c r="R1218" s="3"/>
    </row>
    <row r="1219" spans="18:18" x14ac:dyDescent="0.3">
      <c r="R1219" s="4"/>
    </row>
    <row r="1220" spans="18:18" x14ac:dyDescent="0.3">
      <c r="R1220" s="3"/>
    </row>
    <row r="1221" spans="18:18" x14ac:dyDescent="0.3">
      <c r="R1221" s="4"/>
    </row>
    <row r="1222" spans="18:18" x14ac:dyDescent="0.3">
      <c r="R1222" s="3"/>
    </row>
    <row r="1223" spans="18:18" x14ac:dyDescent="0.3">
      <c r="R1223" s="4"/>
    </row>
    <row r="1224" spans="18:18" x14ac:dyDescent="0.3">
      <c r="R1224" s="3"/>
    </row>
    <row r="1225" spans="18:18" x14ac:dyDescent="0.3">
      <c r="R1225" s="4"/>
    </row>
    <row r="1226" spans="18:18" x14ac:dyDescent="0.3">
      <c r="R1226" s="3"/>
    </row>
    <row r="1227" spans="18:18" x14ac:dyDescent="0.3">
      <c r="R1227" s="4"/>
    </row>
    <row r="1228" spans="18:18" x14ac:dyDescent="0.3">
      <c r="R1228" s="3"/>
    </row>
    <row r="1229" spans="18:18" x14ac:dyDescent="0.3">
      <c r="R1229" s="4"/>
    </row>
    <row r="1230" spans="18:18" x14ac:dyDescent="0.3">
      <c r="R1230" s="3"/>
    </row>
    <row r="1231" spans="18:18" x14ac:dyDescent="0.3">
      <c r="R1231" s="4"/>
    </row>
    <row r="1232" spans="18:18" x14ac:dyDescent="0.3">
      <c r="R1232" s="3"/>
    </row>
    <row r="1233" spans="18:18" x14ac:dyDescent="0.3">
      <c r="R1233" s="4"/>
    </row>
    <row r="1234" spans="18:18" x14ac:dyDescent="0.3">
      <c r="R1234" s="3"/>
    </row>
    <row r="1235" spans="18:18" x14ac:dyDescent="0.3">
      <c r="R1235" s="4"/>
    </row>
    <row r="1236" spans="18:18" x14ac:dyDescent="0.3">
      <c r="R1236" s="3"/>
    </row>
    <row r="1237" spans="18:18" x14ac:dyDescent="0.3">
      <c r="R1237" s="4"/>
    </row>
    <row r="1238" spans="18:18" x14ac:dyDescent="0.3">
      <c r="R1238" s="3"/>
    </row>
    <row r="1239" spans="18:18" x14ac:dyDescent="0.3">
      <c r="R1239" s="4"/>
    </row>
    <row r="1240" spans="18:18" x14ac:dyDescent="0.3">
      <c r="R1240" s="3"/>
    </row>
    <row r="1241" spans="18:18" x14ac:dyDescent="0.3">
      <c r="R1241" s="4"/>
    </row>
    <row r="1242" spans="18:18" x14ac:dyDescent="0.3">
      <c r="R1242" s="3"/>
    </row>
    <row r="1243" spans="18:18" x14ac:dyDescent="0.3">
      <c r="R1243" s="4"/>
    </row>
    <row r="1244" spans="18:18" x14ac:dyDescent="0.3">
      <c r="R1244" s="3"/>
    </row>
    <row r="1245" spans="18:18" x14ac:dyDescent="0.3">
      <c r="R1245" s="4"/>
    </row>
    <row r="1246" spans="18:18" x14ac:dyDescent="0.3">
      <c r="R1246" s="3"/>
    </row>
    <row r="1247" spans="18:18" x14ac:dyDescent="0.3">
      <c r="R1247" s="4"/>
    </row>
    <row r="1248" spans="18:18" x14ac:dyDescent="0.3">
      <c r="R1248" s="3"/>
    </row>
    <row r="1249" spans="18:18" x14ac:dyDescent="0.3">
      <c r="R1249" s="4"/>
    </row>
    <row r="1250" spans="18:18" x14ac:dyDescent="0.3">
      <c r="R1250" s="3"/>
    </row>
    <row r="1251" spans="18:18" x14ac:dyDescent="0.3">
      <c r="R1251" s="4"/>
    </row>
    <row r="1252" spans="18:18" x14ac:dyDescent="0.3">
      <c r="R1252" s="3"/>
    </row>
    <row r="1253" spans="18:18" x14ac:dyDescent="0.3">
      <c r="R1253" s="4"/>
    </row>
    <row r="1254" spans="18:18" x14ac:dyDescent="0.3">
      <c r="R1254" s="76"/>
    </row>
  </sheetData>
  <mergeCells count="2">
    <mergeCell ref="B5:E6"/>
    <mergeCell ref="B21:C23"/>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8DBA-AC39-464D-9217-BED423FECC3B}">
  <dimension ref="B4:E24"/>
  <sheetViews>
    <sheetView showGridLines="0" workbookViewId="0">
      <selection activeCell="J22" sqref="J22"/>
    </sheetView>
  </sheetViews>
  <sheetFormatPr defaultRowHeight="14.4" x14ac:dyDescent="0.3"/>
  <cols>
    <col min="2" max="2" width="17.88671875" customWidth="1"/>
    <col min="3" max="3" width="17.21875" customWidth="1"/>
    <col min="4" max="5" width="11.88671875" customWidth="1"/>
  </cols>
  <sheetData>
    <row r="4" spans="2:5" x14ac:dyDescent="0.3">
      <c r="B4" s="144" t="s">
        <v>547</v>
      </c>
      <c r="C4" s="145"/>
      <c r="D4" s="145"/>
      <c r="E4" s="146"/>
    </row>
    <row r="5" spans="2:5" x14ac:dyDescent="0.3">
      <c r="B5" s="147"/>
      <c r="C5" s="137"/>
      <c r="D5" s="137"/>
      <c r="E5" s="148"/>
    </row>
    <row r="6" spans="2:5" x14ac:dyDescent="0.3">
      <c r="B6" s="61" t="s">
        <v>500</v>
      </c>
      <c r="C6" s="62" t="s">
        <v>427</v>
      </c>
      <c r="D6" s="63" t="s">
        <v>428</v>
      </c>
      <c r="E6" s="64" t="s">
        <v>429</v>
      </c>
    </row>
    <row r="7" spans="2:5" x14ac:dyDescent="0.3">
      <c r="B7" s="45" t="s">
        <v>470</v>
      </c>
      <c r="C7" s="49">
        <f>COUNTIFS(Tabela1[Number of vacation days],"&gt;=0", Tabela1[Number of vacation days],"&lt;15")</f>
        <v>13</v>
      </c>
      <c r="D7" s="50">
        <f t="shared" ref="D7:D14" si="0">C7/$C$14</f>
        <v>1.1101622544833475E-2</v>
      </c>
      <c r="E7" s="51">
        <f>D7*100</f>
        <v>1.1101622544833476</v>
      </c>
    </row>
    <row r="8" spans="2:5" x14ac:dyDescent="0.3">
      <c r="B8" s="45" t="s">
        <v>471</v>
      </c>
      <c r="C8" s="49">
        <f>COUNTIFS(Tabela1[Number of vacation days],"&gt;=15", Tabela1[Number of vacation days],"&lt;30")</f>
        <v>626</v>
      </c>
      <c r="D8" s="50">
        <f t="shared" si="0"/>
        <v>0.53458582408198119</v>
      </c>
      <c r="E8" s="51">
        <f t="shared" ref="E8:E14" si="1">D8*100</f>
        <v>53.458582408198119</v>
      </c>
    </row>
    <row r="9" spans="2:5" x14ac:dyDescent="0.3">
      <c r="B9" s="45" t="s">
        <v>472</v>
      </c>
      <c r="C9" s="49">
        <f>COUNTIFS(Tabela1[Number of vacation days],"&gt;=30", Tabela1[Number of vacation days],"&lt;45")</f>
        <v>526</v>
      </c>
      <c r="D9" s="50">
        <f t="shared" si="0"/>
        <v>0.44918872758326217</v>
      </c>
      <c r="E9" s="51">
        <f t="shared" si="1"/>
        <v>44.918872758326216</v>
      </c>
    </row>
    <row r="10" spans="2:5" x14ac:dyDescent="0.3">
      <c r="B10" s="45" t="s">
        <v>473</v>
      </c>
      <c r="C10" s="49">
        <f>COUNTIFS(Tabela1[Number of vacation days],"&gt;=45", Tabela1[Number of vacation days],"&lt;60")</f>
        <v>4</v>
      </c>
      <c r="D10" s="50">
        <f t="shared" si="0"/>
        <v>3.4158838599487617E-3</v>
      </c>
      <c r="E10" s="51">
        <f t="shared" si="1"/>
        <v>0.34158838599487618</v>
      </c>
    </row>
    <row r="11" spans="2:5" x14ac:dyDescent="0.3">
      <c r="B11" s="45" t="s">
        <v>474</v>
      </c>
      <c r="C11" s="49">
        <f>COUNTIFS(Tabela1[Number of vacation days],"&gt;=60", Tabela1[Number of vacation days],"&lt;75")</f>
        <v>1</v>
      </c>
      <c r="D11" s="50">
        <f t="shared" si="0"/>
        <v>8.5397096498719043E-4</v>
      </c>
      <c r="E11" s="51">
        <f t="shared" si="1"/>
        <v>8.5397096498719044E-2</v>
      </c>
    </row>
    <row r="12" spans="2:5" x14ac:dyDescent="0.3">
      <c r="B12" s="45" t="s">
        <v>475</v>
      </c>
      <c r="C12" s="49">
        <f>COUNTIFS(Tabela1[Number of vacation days],"&gt;=75", Tabela1[Number of vacation days],"&lt;90")</f>
        <v>0</v>
      </c>
      <c r="D12" s="50">
        <f t="shared" si="0"/>
        <v>0</v>
      </c>
      <c r="E12" s="51">
        <f t="shared" si="1"/>
        <v>0</v>
      </c>
    </row>
    <row r="13" spans="2:5" x14ac:dyDescent="0.3">
      <c r="B13" s="45" t="s">
        <v>476</v>
      </c>
      <c r="C13" s="49">
        <f>COUNTIFS(Tabela1[Number of vacation days],"&gt;=90", Tabela1[Number of vacation days],"&lt;105")</f>
        <v>1</v>
      </c>
      <c r="D13" s="50">
        <f t="shared" si="0"/>
        <v>8.5397096498719043E-4</v>
      </c>
      <c r="E13" s="51">
        <f t="shared" si="1"/>
        <v>8.5397096498719044E-2</v>
      </c>
    </row>
    <row r="14" spans="2:5" x14ac:dyDescent="0.3">
      <c r="B14" s="52" t="s">
        <v>425</v>
      </c>
      <c r="C14" s="53">
        <f>SUM(C7:C13)</f>
        <v>1171</v>
      </c>
      <c r="D14" s="53">
        <f t="shared" si="0"/>
        <v>1</v>
      </c>
      <c r="E14" s="54">
        <f t="shared" si="1"/>
        <v>100</v>
      </c>
    </row>
    <row r="16" spans="2:5" x14ac:dyDescent="0.3">
      <c r="B16" s="138" t="s">
        <v>548</v>
      </c>
      <c r="C16" s="139"/>
    </row>
    <row r="17" spans="2:3" x14ac:dyDescent="0.3">
      <c r="B17" s="140"/>
      <c r="C17" s="141"/>
    </row>
    <row r="18" spans="2:3" x14ac:dyDescent="0.3">
      <c r="B18" s="142"/>
      <c r="C18" s="143"/>
    </row>
    <row r="19" spans="2:3" x14ac:dyDescent="0.3">
      <c r="B19" s="34" t="s">
        <v>487</v>
      </c>
      <c r="C19" s="15">
        <f>_xlfn.MODE.SNGL(Tabela1[Number of vacation days])</f>
        <v>30</v>
      </c>
    </row>
    <row r="20" spans="2:3" x14ac:dyDescent="0.3">
      <c r="B20" s="20" t="s">
        <v>482</v>
      </c>
      <c r="C20" s="79">
        <f>AVERAGE(Tabela1[Number of vacation days])</f>
        <v>28.061058923996583</v>
      </c>
    </row>
    <row r="21" spans="2:3" x14ac:dyDescent="0.3">
      <c r="B21" s="20" t="s">
        <v>483</v>
      </c>
      <c r="C21" s="79">
        <f>MEDIAN(Tabela1[Number of vacation days])</f>
        <v>28</v>
      </c>
    </row>
    <row r="22" spans="2:3" x14ac:dyDescent="0.3">
      <c r="B22" s="20" t="s">
        <v>484</v>
      </c>
      <c r="C22" s="79">
        <f>_xlfn.VAR.P(Tabela1[Number of vacation days])</f>
        <v>18.910234233077919</v>
      </c>
    </row>
    <row r="23" spans="2:3" x14ac:dyDescent="0.3">
      <c r="B23" s="20" t="s">
        <v>485</v>
      </c>
      <c r="C23" s="79">
        <f>_xlfn.STDEV.P(Tabela1[Number of vacation days])</f>
        <v>4.3485899131877126</v>
      </c>
    </row>
    <row r="24" spans="2:3" x14ac:dyDescent="0.3">
      <c r="B24" s="18" t="s">
        <v>486</v>
      </c>
      <c r="C24" s="80">
        <f>AVEDEV(Tabela1[Number of vacation days])</f>
        <v>2.3596092882287314</v>
      </c>
    </row>
  </sheetData>
  <mergeCells count="2">
    <mergeCell ref="B4:E5"/>
    <mergeCell ref="B16:C18"/>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ED77-4ADB-4820-95DD-6D6076316569}">
  <dimension ref="B2:E17"/>
  <sheetViews>
    <sheetView showGridLines="0" workbookViewId="0">
      <selection activeCell="E23" sqref="E23"/>
    </sheetView>
  </sheetViews>
  <sheetFormatPr defaultRowHeight="14.4" x14ac:dyDescent="0.3"/>
  <cols>
    <col min="2" max="2" width="15" customWidth="1"/>
    <col min="3" max="3" width="19.21875" customWidth="1"/>
    <col min="4" max="4" width="15.5546875" customWidth="1"/>
    <col min="5" max="5" width="11.77734375" bestFit="1" customWidth="1"/>
  </cols>
  <sheetData>
    <row r="2" spans="2:5" x14ac:dyDescent="0.3">
      <c r="B2" s="144" t="s">
        <v>549</v>
      </c>
      <c r="C2" s="145"/>
      <c r="D2" s="145"/>
      <c r="E2" s="146"/>
    </row>
    <row r="3" spans="2:5" x14ac:dyDescent="0.3">
      <c r="B3" s="147"/>
      <c r="C3" s="137"/>
      <c r="D3" s="137"/>
      <c r="E3" s="148"/>
    </row>
    <row r="4" spans="2:5" x14ac:dyDescent="0.3">
      <c r="B4" s="61" t="s">
        <v>497</v>
      </c>
      <c r="C4" s="62" t="s">
        <v>427</v>
      </c>
      <c r="D4" s="63" t="s">
        <v>428</v>
      </c>
      <c r="E4" s="64" t="s">
        <v>429</v>
      </c>
    </row>
    <row r="5" spans="2:5" x14ac:dyDescent="0.3">
      <c r="B5" s="70" t="s">
        <v>18</v>
      </c>
      <c r="C5" s="49">
        <f>COUNTIF(Tabela1[Main language at work],B5)</f>
        <v>1020</v>
      </c>
      <c r="D5" s="49">
        <f>C5/$C$11</f>
        <v>0.82457558609539205</v>
      </c>
      <c r="E5" s="71">
        <f>D5*100</f>
        <v>82.457558609539205</v>
      </c>
    </row>
    <row r="6" spans="2:5" x14ac:dyDescent="0.3">
      <c r="B6" s="45" t="s">
        <v>36</v>
      </c>
      <c r="C6" s="49">
        <f>COUNTIF(Tabela1[Main language at work],B6)</f>
        <v>186</v>
      </c>
      <c r="D6" s="49">
        <f t="shared" ref="D6:D11" si="0">C6/$C$11</f>
        <v>0.15036378334680678</v>
      </c>
      <c r="E6" s="71">
        <f t="shared" ref="E6:E11" si="1">D6*100</f>
        <v>15.036378334680677</v>
      </c>
    </row>
    <row r="7" spans="2:5" x14ac:dyDescent="0.3">
      <c r="B7" s="45" t="s">
        <v>164</v>
      </c>
      <c r="C7" s="49">
        <f>COUNTIF(Tabela1[Main language at work],B7)</f>
        <v>12</v>
      </c>
      <c r="D7" s="49">
        <f t="shared" si="0"/>
        <v>9.7008892481810841E-3</v>
      </c>
      <c r="E7" s="71">
        <f t="shared" si="1"/>
        <v>0.97008892481810838</v>
      </c>
    </row>
    <row r="8" spans="2:5" x14ac:dyDescent="0.3">
      <c r="B8" s="45" t="s">
        <v>338</v>
      </c>
      <c r="C8" s="49">
        <f>COUNTIF(Tabela1[Main language at work],B8)</f>
        <v>3</v>
      </c>
      <c r="D8" s="49">
        <f t="shared" si="0"/>
        <v>2.425222312045271E-3</v>
      </c>
      <c r="E8" s="71">
        <f t="shared" si="1"/>
        <v>0.24252223120452709</v>
      </c>
    </row>
    <row r="9" spans="2:5" x14ac:dyDescent="0.3">
      <c r="B9" s="45" t="s">
        <v>238</v>
      </c>
      <c r="C9" s="49">
        <f>COUNTIF(Tabela1[Main language at work],B9)</f>
        <v>3</v>
      </c>
      <c r="D9" s="49">
        <f t="shared" si="0"/>
        <v>2.425222312045271E-3</v>
      </c>
      <c r="E9" s="71">
        <f t="shared" si="1"/>
        <v>0.24252223120452709</v>
      </c>
    </row>
    <row r="10" spans="2:5" x14ac:dyDescent="0.3">
      <c r="B10" s="45" t="s">
        <v>449</v>
      </c>
      <c r="C10" s="49">
        <f>C11-SUM(C5:C9)</f>
        <v>13</v>
      </c>
      <c r="D10" s="49">
        <f t="shared" si="0"/>
        <v>1.0509296685529508E-2</v>
      </c>
      <c r="E10" s="71">
        <f t="shared" si="1"/>
        <v>1.0509296685529508</v>
      </c>
    </row>
    <row r="11" spans="2:5" x14ac:dyDescent="0.3">
      <c r="B11" s="52" t="s">
        <v>425</v>
      </c>
      <c r="C11" s="53">
        <v>1237</v>
      </c>
      <c r="D11" s="53">
        <f t="shared" si="0"/>
        <v>1</v>
      </c>
      <c r="E11" s="54">
        <f t="shared" si="1"/>
        <v>100</v>
      </c>
    </row>
    <row r="14" spans="2:5" x14ac:dyDescent="0.3">
      <c r="B14" s="149" t="s">
        <v>550</v>
      </c>
      <c r="C14" s="149"/>
    </row>
    <row r="15" spans="2:5" x14ac:dyDescent="0.3">
      <c r="B15" s="149"/>
      <c r="C15" s="149"/>
    </row>
    <row r="16" spans="2:5" x14ac:dyDescent="0.3">
      <c r="B16" s="149"/>
      <c r="C16" s="149"/>
    </row>
    <row r="17" spans="2:3" x14ac:dyDescent="0.3">
      <c r="B17" s="52" t="s">
        <v>487</v>
      </c>
      <c r="C17" s="56" t="s">
        <v>18</v>
      </c>
    </row>
  </sheetData>
  <mergeCells count="2">
    <mergeCell ref="B2:E3"/>
    <mergeCell ref="B14:C16"/>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FA9C-ED26-4108-8F26-B83957E1B1BD}">
  <dimension ref="B2:E10"/>
  <sheetViews>
    <sheetView showGridLines="0" workbookViewId="0">
      <selection activeCell="I22" sqref="I22"/>
    </sheetView>
  </sheetViews>
  <sheetFormatPr defaultRowHeight="14.4" x14ac:dyDescent="0.3"/>
  <cols>
    <col min="1" max="1" width="6.6640625" customWidth="1"/>
    <col min="2" max="2" width="20" bestFit="1" customWidth="1"/>
    <col min="3" max="5" width="15.109375" customWidth="1"/>
  </cols>
  <sheetData>
    <row r="2" spans="2:5" x14ac:dyDescent="0.3">
      <c r="B2" s="144" t="s">
        <v>551</v>
      </c>
      <c r="C2" s="145"/>
      <c r="D2" s="145"/>
      <c r="E2" s="146"/>
    </row>
    <row r="3" spans="2:5" x14ac:dyDescent="0.3">
      <c r="B3" s="147"/>
      <c r="C3" s="137"/>
      <c r="D3" s="137"/>
      <c r="E3" s="148"/>
    </row>
    <row r="4" spans="2:5" x14ac:dyDescent="0.3">
      <c r="B4" s="61" t="s">
        <v>498</v>
      </c>
      <c r="C4" s="62" t="s">
        <v>427</v>
      </c>
      <c r="D4" s="63" t="s">
        <v>428</v>
      </c>
      <c r="E4" s="64" t="s">
        <v>429</v>
      </c>
    </row>
    <row r="5" spans="2:5" x14ac:dyDescent="0.3">
      <c r="B5" s="70" t="s">
        <v>479</v>
      </c>
      <c r="C5" s="46">
        <f>COUNTIF(Tabela1[Company size],"up to 10")</f>
        <v>61</v>
      </c>
      <c r="D5" s="46">
        <f>C5/$C$10</f>
        <v>4.9392712550607287E-2</v>
      </c>
      <c r="E5" s="74">
        <f>D5*100</f>
        <v>4.9392712550607287</v>
      </c>
    </row>
    <row r="6" spans="2:5" x14ac:dyDescent="0.3">
      <c r="B6" s="45" t="s">
        <v>477</v>
      </c>
      <c r="C6" s="49">
        <f>COUNTIF(Tabela1[Company size],"11-50")</f>
        <v>174</v>
      </c>
      <c r="D6" s="49">
        <f t="shared" ref="D6:D10" si="0">C6/$C$10</f>
        <v>0.1408906882591093</v>
      </c>
      <c r="E6" s="71">
        <f t="shared" ref="E6:E10" si="1">D6*100</f>
        <v>14.08906882591093</v>
      </c>
    </row>
    <row r="7" spans="2:5" x14ac:dyDescent="0.3">
      <c r="B7" s="45" t="s">
        <v>478</v>
      </c>
      <c r="C7" s="49">
        <f>COUNTIF(Tabela1[Company size],"51-100")</f>
        <v>147</v>
      </c>
      <c r="D7" s="49">
        <f t="shared" si="0"/>
        <v>0.11902834008097166</v>
      </c>
      <c r="E7" s="71">
        <f t="shared" si="1"/>
        <v>11.902834008097166</v>
      </c>
    </row>
    <row r="8" spans="2:5" x14ac:dyDescent="0.3">
      <c r="B8" s="45" t="s">
        <v>480</v>
      </c>
      <c r="C8" s="49">
        <f>COUNTIF(Tabela1[Company size],"101-1000")</f>
        <v>405</v>
      </c>
      <c r="D8" s="49">
        <f t="shared" si="0"/>
        <v>0.32793522267206476</v>
      </c>
      <c r="E8" s="71">
        <f t="shared" si="1"/>
        <v>32.793522267206477</v>
      </c>
    </row>
    <row r="9" spans="2:5" x14ac:dyDescent="0.3">
      <c r="B9" s="45" t="s">
        <v>481</v>
      </c>
      <c r="C9" s="49">
        <f>COUNTIF(Tabela1[Company size],"1000+")</f>
        <v>448</v>
      </c>
      <c r="D9" s="49">
        <f t="shared" si="0"/>
        <v>0.36275303643724699</v>
      </c>
      <c r="E9" s="71">
        <f t="shared" si="1"/>
        <v>36.275303643724698</v>
      </c>
    </row>
    <row r="10" spans="2:5" x14ac:dyDescent="0.3">
      <c r="B10" s="52" t="s">
        <v>425</v>
      </c>
      <c r="C10" s="53">
        <f>SUM('Variável Company size'!C5:C9)</f>
        <v>1235</v>
      </c>
      <c r="D10" s="53">
        <f t="shared" si="0"/>
        <v>1</v>
      </c>
      <c r="E10" s="54">
        <f t="shared" si="1"/>
        <v>100</v>
      </c>
    </row>
  </sheetData>
  <mergeCells count="1">
    <mergeCell ref="B2:E3"/>
  </mergeCells>
  <phoneticPr fontId="22" type="noConversion"/>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DCDE-40A9-464B-8AB0-E1720F0C309D}">
  <dimension ref="A1:P1225"/>
  <sheetViews>
    <sheetView showGridLines="0" topLeftCell="A37" workbookViewId="0">
      <selection activeCell="G62" sqref="G62"/>
    </sheetView>
  </sheetViews>
  <sheetFormatPr defaultRowHeight="14.4" x14ac:dyDescent="0.3"/>
  <cols>
    <col min="2" max="2" width="24.109375" customWidth="1"/>
    <col min="3" max="7" width="11.77734375" customWidth="1"/>
    <col min="10" max="10" width="11.77734375" customWidth="1"/>
    <col min="11" max="11" width="46.6640625" customWidth="1"/>
    <col min="15" max="15" width="11.5546875" bestFit="1" customWidth="1"/>
    <col min="16" max="16" width="21.88671875" bestFit="1" customWidth="1"/>
  </cols>
  <sheetData>
    <row r="1" spans="1:16" x14ac:dyDescent="0.3">
      <c r="A1" s="150" t="s">
        <v>510</v>
      </c>
      <c r="B1" s="150"/>
      <c r="C1" s="150"/>
      <c r="D1" s="150"/>
      <c r="E1" s="150"/>
      <c r="F1" s="150"/>
      <c r="G1" s="150"/>
      <c r="H1" s="150"/>
      <c r="I1" s="150"/>
      <c r="J1" s="91" t="s">
        <v>0</v>
      </c>
      <c r="K1" s="91" t="s">
        <v>8</v>
      </c>
      <c r="L1" s="91"/>
      <c r="O1" s="166"/>
      <c r="P1" s="166"/>
    </row>
    <row r="2" spans="1:16" x14ac:dyDescent="0.3">
      <c r="A2" s="150"/>
      <c r="B2" s="150"/>
      <c r="C2" s="150"/>
      <c r="D2" s="150"/>
      <c r="E2" s="150"/>
      <c r="F2" s="150"/>
      <c r="G2" s="150"/>
      <c r="H2" s="150"/>
      <c r="I2" s="150"/>
      <c r="J2">
        <v>20</v>
      </c>
      <c r="K2">
        <v>240000</v>
      </c>
      <c r="L2" s="91"/>
    </row>
    <row r="3" spans="1:16" x14ac:dyDescent="0.3">
      <c r="J3">
        <v>21</v>
      </c>
      <c r="K3">
        <v>50000</v>
      </c>
    </row>
    <row r="4" spans="1:16" x14ac:dyDescent="0.3">
      <c r="J4">
        <v>22</v>
      </c>
      <c r="K4">
        <v>10001</v>
      </c>
    </row>
    <row r="5" spans="1:16" x14ac:dyDescent="0.3">
      <c r="J5">
        <v>22</v>
      </c>
      <c r="K5">
        <v>24000</v>
      </c>
    </row>
    <row r="6" spans="1:16" x14ac:dyDescent="0.3">
      <c r="J6">
        <v>22</v>
      </c>
      <c r="K6">
        <v>27000</v>
      </c>
    </row>
    <row r="7" spans="1:16" ht="14.4" customHeight="1" x14ac:dyDescent="0.3">
      <c r="B7" s="151" t="s">
        <v>553</v>
      </c>
      <c r="C7" s="152"/>
      <c r="D7" s="152"/>
      <c r="E7" s="152"/>
      <c r="F7" s="152"/>
      <c r="G7" s="152"/>
      <c r="H7" s="153"/>
      <c r="J7">
        <v>22</v>
      </c>
      <c r="K7">
        <v>35000</v>
      </c>
    </row>
    <row r="8" spans="1:16" x14ac:dyDescent="0.3">
      <c r="B8" s="154"/>
      <c r="C8" s="155"/>
      <c r="D8" s="155"/>
      <c r="E8" s="155"/>
      <c r="F8" s="155"/>
      <c r="G8" s="155"/>
      <c r="H8" s="156"/>
      <c r="J8">
        <v>22</v>
      </c>
      <c r="K8">
        <v>39000</v>
      </c>
    </row>
    <row r="9" spans="1:16" x14ac:dyDescent="0.3">
      <c r="B9" s="100"/>
      <c r="C9" s="101" t="s">
        <v>420</v>
      </c>
      <c r="D9" s="101" t="s">
        <v>421</v>
      </c>
      <c r="E9" s="101" t="s">
        <v>422</v>
      </c>
      <c r="F9" s="101" t="s">
        <v>423</v>
      </c>
      <c r="G9" s="101" t="s">
        <v>424</v>
      </c>
      <c r="H9" s="102" t="s">
        <v>425</v>
      </c>
      <c r="J9">
        <v>22</v>
      </c>
      <c r="K9">
        <v>45000</v>
      </c>
    </row>
    <row r="10" spans="1:16" x14ac:dyDescent="0.3">
      <c r="B10" s="67" t="s">
        <v>450</v>
      </c>
      <c r="C10" s="37">
        <f>COUNTIFS(Tabela3[Age],"&gt;=20",Tabela3[Age],"&lt;30",Tabela3[Yearly brutto salary (without bonus and stocks) in EUR],"&gt;=10000",Tabela3[Yearly brutto salary (without bonus and stocks) in EUR],"&lt;30000")</f>
        <v>25</v>
      </c>
      <c r="D10" s="37">
        <f>COUNTIFS(Tabela3[Age],"&gt;=30",Tabela3[Age],"&lt;40",Tabela3[Yearly brutto salary (without bonus and stocks) in EUR],"&gt;=10000",Tabela3[Yearly brutto salary (without bonus and stocks) in EUR],"&lt;30000")</f>
        <v>6</v>
      </c>
      <c r="E10" s="37">
        <f>COUNTIFS(Tabela3[Age],"&gt;=40",Tabela3[Age],"&lt;50",Tabela3[Yearly brutto salary (without bonus and stocks) in EUR],"&gt;=10000",Tabela3[Yearly brutto salary (without bonus and stocks) in EUR],"&lt;30000")</f>
        <v>0</v>
      </c>
      <c r="F10" s="37">
        <f>COUNTIFS(Tabela3[Age],"&gt;=50",Tabela3[Age],"&lt;60",Tabela3[Yearly brutto salary (without bonus and stocks) in EUR],"&gt;=10000",Tabela3[Yearly brutto salary (without bonus and stocks) in EUR],"&lt;30000")</f>
        <v>1</v>
      </c>
      <c r="G10" s="37">
        <f>COUNTIFS(Tabela3[Age],"&gt;=60",Tabela3[Age],"&lt;70",Tabela3[Yearly brutto salary (without bonus and stocks) in EUR],"&gt;=10000",Tabela3[Yearly brutto salary (without bonus and stocks) in EUR],"&lt;30000")</f>
        <v>0</v>
      </c>
      <c r="H10" s="99">
        <f>SUM(C10:G10)</f>
        <v>32</v>
      </c>
      <c r="J10">
        <v>22</v>
      </c>
      <c r="K10">
        <v>63000</v>
      </c>
    </row>
    <row r="11" spans="1:16" x14ac:dyDescent="0.3">
      <c r="B11" s="68" t="s">
        <v>451</v>
      </c>
      <c r="C11" s="37">
        <f>COUNTIFS(Tabela3[Age],"&gt;=20",Tabela3[Age],"&lt;30",Tabela3[Yearly brutto salary (without bonus and stocks) in EUR],"&gt;=30000",Tabela3[Yearly brutto salary (without bonus and stocks) in EUR],"&lt;50000")</f>
        <v>61</v>
      </c>
      <c r="D11" s="37">
        <f>COUNTIFS(Tabela3[Age],"&gt;=30",Tabela3[Age],"&lt;40",Tabela3[Yearly brutto salary (without bonus and stocks) in EUR],"&gt;=30000",Tabela3[Yearly brutto salary (without bonus and stocks) in EUR],"&lt;50000")</f>
        <v>41</v>
      </c>
      <c r="E11" s="37">
        <f>COUNTIFS(Tabela3[Age],"&gt;=40",Tabela3[Age],"&lt;50",Tabela3[Yearly brutto salary (without bonus and stocks) in EUR],"&gt;=30000",Tabela3[Yearly brutto salary (without bonus and stocks) in EUR],"&lt;50000")</f>
        <v>9</v>
      </c>
      <c r="F11" s="37">
        <f>COUNTIFS(Tabela3[Age],"&gt;=50",Tabela3[Age],"&lt;60",Tabela3[Yearly brutto salary (without bonus and stocks) in EUR],"&gt;=30000",Tabela3[Yearly brutto salary (without bonus and stocks) in EUR],"&lt;50000")</f>
        <v>0</v>
      </c>
      <c r="G11" s="37">
        <f>COUNTIFS(Tabela3[Age],"&gt;=60",Tabela3[Age],"&lt;70",Tabela3[Yearly brutto salary (without bonus and stocks) in EUR],"&gt;=30000",Tabela3[Yearly brutto salary (without bonus and stocks) in EUR],"&lt;50000")</f>
        <v>0</v>
      </c>
      <c r="H11" s="99">
        <f t="shared" ref="H11:H20" si="0">SUM(C11:G11)</f>
        <v>111</v>
      </c>
      <c r="J11">
        <v>22</v>
      </c>
      <c r="K11">
        <v>159000</v>
      </c>
    </row>
    <row r="12" spans="1:16" x14ac:dyDescent="0.3">
      <c r="B12" s="68" t="s">
        <v>452</v>
      </c>
      <c r="C12" s="37">
        <f>COUNTIFS(Tabela3[Age],"&gt;=20",Tabela3[Age],"&lt;30",Tabela3[Yearly brutto salary (without bonus and stocks) in EUR],"&gt;=50000",Tabela3[Yearly brutto salary (without bonus and stocks) in EUR],"&lt;70000")</f>
        <v>180</v>
      </c>
      <c r="D12" s="37">
        <f>COUNTIFS(Tabela3[Age],"&gt;=30",Tabela3[Age],"&lt;40",Tabela3[Yearly brutto salary (without bonus and stocks) in EUR],"&gt;=50000",Tabela3[Yearly brutto salary (without bonus and stocks) in EUR],"&lt;70000")</f>
        <v>251</v>
      </c>
      <c r="E12" s="37">
        <f>COUNTIFS(Tabela3[Age],"&gt;=40",Tabela3[Age],"&lt;50",Tabela3[Yearly brutto salary (without bonus and stocks) in EUR],"&gt;=50000",Tabela3[Yearly brutto salary (without bonus and stocks) in EUR],"&lt;70000")</f>
        <v>26</v>
      </c>
      <c r="F12" s="37">
        <f>COUNTIFS(Tabela3[Age],"&gt;=50",Tabela3[Age],"&lt;60",Tabela3[Yearly brutto salary (without bonus and stocks) in EUR],"&gt;=50000",Tabela3[Yearly brutto salary (without bonus and stocks) in EUR],"&lt;70000")</f>
        <v>3</v>
      </c>
      <c r="G12" s="37">
        <f>COUNTIFS(Tabela3[Age],"&gt;=60",Tabela3[Age],"&lt;70",Tabela3[Yearly brutto salary (without bonus and stocks) in EUR],"&gt;=50000",Tabela3[Yearly brutto salary (without bonus and stocks) in EUR],"&lt;70000")</f>
        <v>1</v>
      </c>
      <c r="H12" s="99">
        <f t="shared" si="0"/>
        <v>461</v>
      </c>
      <c r="J12">
        <v>23</v>
      </c>
      <c r="K12">
        <v>34000</v>
      </c>
    </row>
    <row r="13" spans="1:16" x14ac:dyDescent="0.3">
      <c r="B13" s="68" t="s">
        <v>458</v>
      </c>
      <c r="C13" s="37">
        <f>COUNTIFS(Tabela3[Age],"&gt;=20",Tabela3[Age],"&lt;30",Tabela3[Yearly brutto salary (without bonus and stocks) in EUR],"&gt;=70000",Tabela3[Yearly brutto salary (without bonus and stocks) in EUR],"&lt;90000")</f>
        <v>95</v>
      </c>
      <c r="D13" s="37">
        <f>COUNTIFS(Tabela3[Age],"&gt;=30",Tabela3[Age],"&lt;40",Tabela3[Yearly brutto salary (without bonus and stocks) in EUR],"&gt;=70000",Tabela3[Yearly brutto salary (without bonus and stocks) in EUR],"&lt;90000")</f>
        <v>287</v>
      </c>
      <c r="E13" s="37">
        <f>COUNTIFS(Tabela3[Age],"&gt;=40",Tabela3[Age],"&lt;50",Tabela3[Yearly brutto salary (without bonus and stocks) in EUR],"&gt;=70000",Tabela3[Yearly brutto salary (without bonus and stocks) in EUR],"&lt;90000")</f>
        <v>47</v>
      </c>
      <c r="F13" s="37">
        <f>COUNTIFS(Tabela3[Age],"&gt;=50",Tabela3[Age],"&lt;60",Tabela3[Yearly brutto salary (without bonus and stocks) in EUR],"&gt;=70000",Tabela3[Yearly brutto salary (without bonus and stocks) in EUR],"&lt;90000")</f>
        <v>2</v>
      </c>
      <c r="G13" s="37">
        <f>COUNTIFS(Tabela3[Age],"&gt;=60",Tabela3[Age],"&lt;70",Tabela3[Yearly brutto salary (without bonus and stocks) in EUR],"&gt;=70000",Tabela3[Yearly brutto salary (without bonus and stocks) in EUR],"&lt;90000")</f>
        <v>2</v>
      </c>
      <c r="H13" s="99">
        <f t="shared" si="0"/>
        <v>433</v>
      </c>
      <c r="J13">
        <v>23</v>
      </c>
      <c r="K13">
        <v>36000</v>
      </c>
    </row>
    <row r="14" spans="1:16" x14ac:dyDescent="0.3">
      <c r="B14" s="68" t="s">
        <v>453</v>
      </c>
      <c r="C14" s="37">
        <f>COUNTIFS(Tabela3[Age],"&gt;=20",Tabela3[Age],"&lt;30",Tabela3[Yearly brutto salary (without bonus and stocks) in EUR],"&gt;=90000",Tabela3[Yearly brutto salary (without bonus and stocks) in EUR],"&lt;110000")</f>
        <v>11</v>
      </c>
      <c r="D14" s="37">
        <f>COUNTIFS(Tabela3[Age],"&gt;=30",Tabela3[Age],"&lt;40",Tabela3[Yearly brutto salary (without bonus and stocks) in EUR],"&gt;=90000",Tabela3[Yearly brutto salary (without bonus and stocks) in EUR],"&lt;110000")</f>
        <v>95</v>
      </c>
      <c r="E14" s="37">
        <f>COUNTIFS(Tabela3[Age],"&gt;=40",Tabela3[Age],"&lt;50",Tabela3[Yearly brutto salary (without bonus and stocks) in EUR],"&gt;=90000",Tabela3[Yearly brutto salary (without bonus and stocks) in EUR],"&lt;110000")</f>
        <v>20</v>
      </c>
      <c r="F14" s="37">
        <f>COUNTIFS(Tabela3[Age],"&gt;=50",Tabela3[Age],"&lt;60",Tabela3[Yearly brutto salary (without bonus and stocks) in EUR],"&gt;=90000",Tabela3[Yearly brutto salary (without bonus and stocks) in EUR],"&lt;110000")</f>
        <v>1</v>
      </c>
      <c r="G14" s="37">
        <f>COUNTIFS(Tabela3[Age],"&gt;=60",Tabela3[Age],"&lt;70",Tabela3[Yearly brutto salary (without bonus and stocks) in EUR],"&gt;=90000",Tabela3[Yearly brutto salary (without bonus and stocks) in EUR],"&lt;110000")</f>
        <v>0</v>
      </c>
      <c r="H14" s="99">
        <f t="shared" si="0"/>
        <v>127</v>
      </c>
      <c r="J14">
        <v>23</v>
      </c>
      <c r="K14">
        <v>45000</v>
      </c>
    </row>
    <row r="15" spans="1:16" x14ac:dyDescent="0.3">
      <c r="B15" s="68" t="s">
        <v>454</v>
      </c>
      <c r="C15" s="37">
        <f>COUNTIFS(Tabela3[Age],"&gt;=20",Tabela3[Age],"&lt;30",Tabela3[Yearly brutto salary (without bonus and stocks) in EUR],"&gt;=110000",Tabela3[Yearly brutto salary (without bonus and stocks) in EUR],"&lt;130000")</f>
        <v>4</v>
      </c>
      <c r="D15" s="37">
        <f>COUNTIFS(Tabela3[Age],"&gt;=30",Tabela3[Age],"&lt;40",Tabela3[Yearly brutto salary (without bonus and stocks) in EUR],"&gt;=110000",Tabela3[Yearly brutto salary (without bonus and stocks) in EUR],"&lt;130000")</f>
        <v>22</v>
      </c>
      <c r="E15" s="37">
        <f>COUNTIFS(Tabela3[Age],"&gt;=40",Tabela3[Age],"&lt;50",Tabela3[Yearly brutto salary (without bonus and stocks) in EUR],"&gt;=110000",Tabela3[Yearly brutto salary (without bonus and stocks) in EUR],"&lt;130000")</f>
        <v>4</v>
      </c>
      <c r="F15" s="37">
        <f>COUNTIFS(Tabela3[Age],"&gt;=50",Tabela3[Age],"&lt;60",Tabela3[Yearly brutto salary (without bonus and stocks) in EUR],"&gt;=110000",Tabela3[Yearly brutto salary (without bonus and stocks) in EUR],"&lt;130000")</f>
        <v>2</v>
      </c>
      <c r="G15" s="37">
        <f>COUNTIFS(Tabela3[Age],"&gt;=60",Tabela3[Age],"&lt;70",Tabela3[Yearly brutto salary (without bonus and stocks) in EUR],"&gt;=110000",Tabela3[Yearly brutto salary (without bonus and stocks) in EUR],"&lt;130000")</f>
        <v>0</v>
      </c>
      <c r="H15" s="99">
        <f t="shared" si="0"/>
        <v>32</v>
      </c>
      <c r="J15">
        <v>23</v>
      </c>
      <c r="K15">
        <v>45600</v>
      </c>
    </row>
    <row r="16" spans="1:16" x14ac:dyDescent="0.3">
      <c r="B16" s="68" t="s">
        <v>455</v>
      </c>
      <c r="C16" s="37">
        <f>COUNTIFS(Tabela3[Age],"&gt;=20",Tabela3[Age],"&lt;30",Tabela3[Yearly brutto salary (without bonus and stocks) in EUR],"&gt;=130000",Tabela3[Yearly brutto salary (without bonus and stocks) in EUR],"&lt;150000")</f>
        <v>1</v>
      </c>
      <c r="D16" s="37">
        <f>COUNTIFS(Tabela3[Age],"&gt;=30",Tabela3[Age],"&lt;40",Tabela3[Yearly brutto salary (without bonus and stocks) in EUR],"&gt;=130000",Tabela3[Yearly brutto salary (without bonus and stocks) in EUR],"&lt;150000")</f>
        <v>7</v>
      </c>
      <c r="E16" s="37">
        <f>COUNTIFS(Tabela3[Age],"&gt;=40",Tabela3[Age],"&lt;50",Tabela3[Yearly brutto salary (without bonus and stocks) in EUR],"&gt;=13000",Tabela3[Yearly brutto salary (without bonus and stocks) in EUR],"&lt;150000")</f>
        <v>107</v>
      </c>
      <c r="F16" s="37">
        <f>COUNTIFS(Tabela3[Age],"&gt;=50",Tabela3[Age],"&lt;60",Tabela3[Yearly brutto salary (without bonus and stocks) in EUR],"&gt;=130000",Tabela3[Yearly brutto salary (without bonus and stocks) in EUR],"&lt;150000")</f>
        <v>0</v>
      </c>
      <c r="G16" s="37">
        <f>COUNTIFS(Tabela3[Age],"&gt;=60",Tabela3[Age],"&lt;70",Tabela3[Yearly brutto salary (without bonus and stocks) in EUR],"&gt;=130000",Tabela3[Yearly brutto salary (without bonus and stocks) in EUR],"&lt;150000")</f>
        <v>0</v>
      </c>
      <c r="H16" s="99">
        <f t="shared" si="0"/>
        <v>115</v>
      </c>
      <c r="J16">
        <v>23</v>
      </c>
      <c r="K16">
        <v>49000</v>
      </c>
    </row>
    <row r="17" spans="2:11" x14ac:dyDescent="0.3">
      <c r="B17" s="68" t="s">
        <v>456</v>
      </c>
      <c r="C17" s="37">
        <f>COUNTIFS(Tabela3[Age],"&gt;=20",Tabela3[Age],"&lt;30",Tabela3[Yearly brutto salary (without bonus and stocks) in EUR],"&gt;=170000",Tabela3[Yearly brutto salary (without bonus and stocks) in EUR],"&lt;190000")</f>
        <v>1</v>
      </c>
      <c r="D17" s="37">
        <f>COUNTIFS(Tabela3[Age],"&gt;=30",Tabela3[Age],"&lt;40",Tabela3[Yearly brutto salary (without bonus and stocks) in EUR],"&gt;=170000",Tabela3[Yearly brutto salary (without bonus and stocks) in EUR],"&lt;190000")</f>
        <v>2</v>
      </c>
      <c r="E17" s="37">
        <f>COUNTIFS(Tabela3[Age],"&gt;=40",Tabela3[Age],"&lt;50",Tabela3[Yearly brutto salary (without bonus and stocks) in EUR],"&gt;=170000",Tabela3[Yearly brutto salary (without bonus and stocks) in EUR],"&lt;190000")</f>
        <v>0</v>
      </c>
      <c r="F17" s="37">
        <f>COUNTIFS(Tabela3[Age],"&gt;=50",Tabela3[Age],"&lt;60",Tabela3[Yearly brutto salary (without bonus and stocks) in EUR],"&gt;=170000",Tabela3[Yearly brutto salary (without bonus and stocks) in EUR],"&lt;190000")</f>
        <v>0</v>
      </c>
      <c r="G17" s="37">
        <f>COUNTIFS(Tabela3[Age],"&gt;=60",Tabela3[Age],"&lt;70",Tabela3[Yearly brutto salary (without bonus and stocks) in EUR],"&gt;=170000",Tabela3[Yearly brutto salary (without bonus and stocks) in EUR],"&lt;190000")</f>
        <v>0</v>
      </c>
      <c r="H17" s="99">
        <f t="shared" si="0"/>
        <v>3</v>
      </c>
      <c r="J17">
        <v>23</v>
      </c>
      <c r="K17">
        <v>49200</v>
      </c>
    </row>
    <row r="18" spans="2:11" x14ac:dyDescent="0.3">
      <c r="B18" s="68" t="s">
        <v>457</v>
      </c>
      <c r="C18" s="37">
        <f>COUNTIFS(Tabela3[Age],"&gt;=20",Tabela3[Age],"&lt;30",Tabela3[Yearly brutto salary (without bonus and stocks) in EUR],"&gt;=190000",Tabela3[Yearly brutto salary (without bonus and stocks) in EUR],"&lt;210000")</f>
        <v>0</v>
      </c>
      <c r="D18" s="37">
        <f>COUNTIFS(Tabela3[Age],"&gt;=30",Tabela3[Age],"&lt;40",Tabela3[Yearly brutto salary (without bonus and stocks) in EUR],"&gt;=190000",Tabela3[Yearly brutto salary (without bonus and stocks) in EUR],"&lt;210000")</f>
        <v>3</v>
      </c>
      <c r="E18" s="37">
        <f>COUNTIFS(Tabela3[Age],"&gt;=40",Tabela3[Age],"&lt;50",Tabela3[Yearly brutto salary (without bonus and stocks) in EUR],"&gt;=190000",Tabela3[Yearly brutto salary (without bonus and stocks) in EUR],"&lt;210000")</f>
        <v>1</v>
      </c>
      <c r="F18" s="37">
        <f>COUNTIFS(Tabela3[Age],"&gt;=50",Tabela3[Age],"&lt;60",Tabela3[Yearly brutto salary (without bonus and stocks) in EUR],"&gt;=190000",Tabela3[Yearly brutto salary (without bonus and stocks) in EUR],"&lt;210000")</f>
        <v>0</v>
      </c>
      <c r="G18" s="37">
        <f>COUNTIFS(Tabela3[Age],"&gt;=60",Tabela3[Age],"&lt;70",Tabela3[Yearly brutto salary (without bonus and stocks) in EUR],"&gt;=190000",Tabela3[Yearly brutto salary (without bonus and stocks) in EUR],"&lt;190000")</f>
        <v>0</v>
      </c>
      <c r="H18" s="99">
        <f t="shared" si="0"/>
        <v>4</v>
      </c>
      <c r="J18">
        <v>23</v>
      </c>
      <c r="K18">
        <v>53000</v>
      </c>
    </row>
    <row r="19" spans="2:11" x14ac:dyDescent="0.3">
      <c r="B19" s="68" t="s">
        <v>502</v>
      </c>
      <c r="C19" s="37">
        <f>COUNTIFS(Tabela3[Age],"&gt;=20",Tabela3[Age],"&lt;30",Tabela3[Yearly brutto salary (without bonus and stocks) in EUR],"&gt;=210000")</f>
        <v>2</v>
      </c>
      <c r="D19" s="37">
        <f>COUNTIFS(Tabela3[Age],"&gt;=30",Tabela3[Age],"&lt;40",Tabela3[Yearly brutto salary (without bonus and stocks) in EUR],"&gt;=210000")</f>
        <v>0</v>
      </c>
      <c r="E19" s="37">
        <f>COUNTIFS(Tabela3[Age],"&gt;=40",Tabela3[Age],"&lt;50",Tabela3[Yearly brutto salary (without bonus and stocks) in EUR],"&gt;=210000")</f>
        <v>1</v>
      </c>
      <c r="F19" s="37">
        <f>COUNTIFS(Tabela3[Age],"&gt;=50",Tabela3[Age],"&lt;60",Tabela3[Yearly brutto salary (without bonus and stocks) in EUR],"&gt;=210000")</f>
        <v>0</v>
      </c>
      <c r="G19" s="37">
        <f>COUNTIFS(Tabela3[Age],"&gt;=60",Tabela3[Age],"&lt;70",Tabela3[Yearly brutto salary (without bonus and stocks) in EUR],"&gt;=210000")</f>
        <v>0</v>
      </c>
      <c r="H19" s="99">
        <f t="shared" si="0"/>
        <v>3</v>
      </c>
      <c r="J19">
        <v>23</v>
      </c>
      <c r="K19">
        <v>54179.13</v>
      </c>
    </row>
    <row r="20" spans="2:11" x14ac:dyDescent="0.3">
      <c r="B20" s="61" t="s">
        <v>425</v>
      </c>
      <c r="C20" s="103">
        <f>SUM(C10:C19)</f>
        <v>380</v>
      </c>
      <c r="D20" s="103">
        <f t="shared" ref="D20:G20" si="1">SUM(D10:D19)</f>
        <v>714</v>
      </c>
      <c r="E20" s="103">
        <f t="shared" si="1"/>
        <v>215</v>
      </c>
      <c r="F20" s="103">
        <f t="shared" si="1"/>
        <v>9</v>
      </c>
      <c r="G20" s="103">
        <f t="shared" si="1"/>
        <v>3</v>
      </c>
      <c r="H20" s="104">
        <f t="shared" si="0"/>
        <v>1321</v>
      </c>
      <c r="J20">
        <v>23</v>
      </c>
      <c r="K20">
        <v>60000</v>
      </c>
    </row>
    <row r="21" spans="2:11" x14ac:dyDescent="0.3">
      <c r="J21">
        <v>23</v>
      </c>
      <c r="K21">
        <v>65000</v>
      </c>
    </row>
    <row r="22" spans="2:11" x14ac:dyDescent="0.3">
      <c r="J22">
        <v>23</v>
      </c>
      <c r="K22">
        <v>70500</v>
      </c>
    </row>
    <row r="23" spans="2:11" x14ac:dyDescent="0.3">
      <c r="J23">
        <v>23</v>
      </c>
      <c r="K23">
        <v>80000</v>
      </c>
    </row>
    <row r="24" spans="2:11" x14ac:dyDescent="0.3">
      <c r="J24">
        <v>24</v>
      </c>
      <c r="K24">
        <v>10164</v>
      </c>
    </row>
    <row r="25" spans="2:11" x14ac:dyDescent="0.3">
      <c r="J25">
        <v>24</v>
      </c>
      <c r="K25">
        <v>11500</v>
      </c>
    </row>
    <row r="26" spans="2:11" x14ac:dyDescent="0.3">
      <c r="J26">
        <v>24</v>
      </c>
      <c r="K26">
        <v>14400</v>
      </c>
    </row>
    <row r="27" spans="2:11" x14ac:dyDescent="0.3">
      <c r="J27">
        <v>24</v>
      </c>
      <c r="K27">
        <v>16320</v>
      </c>
    </row>
    <row r="28" spans="2:11" x14ac:dyDescent="0.3">
      <c r="J28">
        <v>24</v>
      </c>
      <c r="K28">
        <v>29000</v>
      </c>
    </row>
    <row r="29" spans="2:11" x14ac:dyDescent="0.3">
      <c r="J29">
        <v>24</v>
      </c>
      <c r="K29">
        <v>30000</v>
      </c>
    </row>
    <row r="30" spans="2:11" x14ac:dyDescent="0.3">
      <c r="J30">
        <v>24</v>
      </c>
      <c r="K30">
        <v>44000</v>
      </c>
    </row>
    <row r="31" spans="2:11" x14ac:dyDescent="0.3">
      <c r="J31">
        <v>24</v>
      </c>
      <c r="K31">
        <v>46000</v>
      </c>
    </row>
    <row r="32" spans="2:11" x14ac:dyDescent="0.3">
      <c r="J32">
        <v>24</v>
      </c>
      <c r="K32">
        <v>48000</v>
      </c>
    </row>
    <row r="33" spans="10:11" x14ac:dyDescent="0.3">
      <c r="J33">
        <v>24</v>
      </c>
      <c r="K33">
        <v>48000</v>
      </c>
    </row>
    <row r="34" spans="10:11" x14ac:dyDescent="0.3">
      <c r="J34">
        <v>24</v>
      </c>
      <c r="K34">
        <v>48000</v>
      </c>
    </row>
    <row r="35" spans="10:11" x14ac:dyDescent="0.3">
      <c r="J35">
        <v>24</v>
      </c>
      <c r="K35">
        <v>50000</v>
      </c>
    </row>
    <row r="36" spans="10:11" x14ac:dyDescent="0.3">
      <c r="J36">
        <v>24</v>
      </c>
      <c r="K36">
        <v>55200</v>
      </c>
    </row>
    <row r="37" spans="10:11" x14ac:dyDescent="0.3">
      <c r="J37">
        <v>24</v>
      </c>
      <c r="K37">
        <v>57600</v>
      </c>
    </row>
    <row r="38" spans="10:11" x14ac:dyDescent="0.3">
      <c r="J38">
        <v>24</v>
      </c>
      <c r="K38">
        <v>58000</v>
      </c>
    </row>
    <row r="39" spans="10:11" x14ac:dyDescent="0.3">
      <c r="J39">
        <v>24</v>
      </c>
      <c r="K39">
        <v>58000</v>
      </c>
    </row>
    <row r="40" spans="10:11" x14ac:dyDescent="0.3">
      <c r="J40">
        <v>24</v>
      </c>
      <c r="K40">
        <v>60000</v>
      </c>
    </row>
    <row r="41" spans="10:11" x14ac:dyDescent="0.3">
      <c r="J41">
        <v>24</v>
      </c>
      <c r="K41">
        <v>64000</v>
      </c>
    </row>
    <row r="42" spans="10:11" x14ac:dyDescent="0.3">
      <c r="J42">
        <v>24</v>
      </c>
      <c r="K42">
        <v>65000</v>
      </c>
    </row>
    <row r="43" spans="10:11" x14ac:dyDescent="0.3">
      <c r="J43">
        <v>24</v>
      </c>
      <c r="K43">
        <v>68250</v>
      </c>
    </row>
    <row r="44" spans="10:11" x14ac:dyDescent="0.3">
      <c r="J44">
        <v>24</v>
      </c>
      <c r="K44">
        <v>70000</v>
      </c>
    </row>
    <row r="45" spans="10:11" x14ac:dyDescent="0.3">
      <c r="J45">
        <v>24</v>
      </c>
      <c r="K45">
        <v>73000</v>
      </c>
    </row>
    <row r="46" spans="10:11" x14ac:dyDescent="0.3">
      <c r="J46">
        <v>24</v>
      </c>
      <c r="K46">
        <v>75000</v>
      </c>
    </row>
    <row r="47" spans="10:11" x14ac:dyDescent="0.3">
      <c r="J47">
        <v>24</v>
      </c>
      <c r="K47">
        <v>77000</v>
      </c>
    </row>
    <row r="48" spans="10:11" x14ac:dyDescent="0.3">
      <c r="J48">
        <v>24</v>
      </c>
      <c r="K48">
        <v>77600</v>
      </c>
    </row>
    <row r="49" spans="2:11" x14ac:dyDescent="0.3">
      <c r="J49">
        <v>24</v>
      </c>
      <c r="K49">
        <v>79000</v>
      </c>
    </row>
    <row r="50" spans="2:11" x14ac:dyDescent="0.3">
      <c r="J50">
        <v>24</v>
      </c>
      <c r="K50">
        <v>90000</v>
      </c>
    </row>
    <row r="51" spans="2:11" x14ac:dyDescent="0.3">
      <c r="J51">
        <v>24</v>
      </c>
      <c r="K51">
        <v>300000</v>
      </c>
    </row>
    <row r="52" spans="2:11" x14ac:dyDescent="0.3">
      <c r="J52">
        <v>25</v>
      </c>
      <c r="K52">
        <v>12000</v>
      </c>
    </row>
    <row r="53" spans="2:11" x14ac:dyDescent="0.3">
      <c r="J53">
        <v>25</v>
      </c>
      <c r="K53">
        <v>23000</v>
      </c>
    </row>
    <row r="54" spans="2:11" x14ac:dyDescent="0.3">
      <c r="B54" s="61" t="s">
        <v>512</v>
      </c>
      <c r="C54" s="56">
        <f>CORREL(Tabela3[[#All],[Age]],Tabela3[[#All],[Yearly brutto salary (without bonus and stocks) in EUR]])</f>
        <v>0.22287062722039777</v>
      </c>
      <c r="J54">
        <v>25</v>
      </c>
      <c r="K54">
        <v>38000</v>
      </c>
    </row>
    <row r="55" spans="2:11" x14ac:dyDescent="0.3">
      <c r="J55">
        <v>25</v>
      </c>
      <c r="K55">
        <v>42000</v>
      </c>
    </row>
    <row r="56" spans="2:11" x14ac:dyDescent="0.3">
      <c r="J56">
        <v>25</v>
      </c>
      <c r="K56">
        <v>43500</v>
      </c>
    </row>
    <row r="57" spans="2:11" x14ac:dyDescent="0.3">
      <c r="J57">
        <v>25</v>
      </c>
      <c r="K57">
        <v>44000</v>
      </c>
    </row>
    <row r="58" spans="2:11" x14ac:dyDescent="0.3">
      <c r="J58">
        <v>25</v>
      </c>
      <c r="K58">
        <v>45000</v>
      </c>
    </row>
    <row r="59" spans="2:11" x14ac:dyDescent="0.3">
      <c r="J59">
        <v>25</v>
      </c>
      <c r="K59">
        <v>45000</v>
      </c>
    </row>
    <row r="60" spans="2:11" x14ac:dyDescent="0.3">
      <c r="J60">
        <v>25</v>
      </c>
      <c r="K60">
        <v>48000</v>
      </c>
    </row>
    <row r="61" spans="2:11" x14ac:dyDescent="0.3">
      <c r="J61">
        <v>25</v>
      </c>
      <c r="K61">
        <v>49850</v>
      </c>
    </row>
    <row r="62" spans="2:11" x14ac:dyDescent="0.3">
      <c r="J62">
        <v>25</v>
      </c>
      <c r="K62">
        <v>51000</v>
      </c>
    </row>
    <row r="63" spans="2:11" x14ac:dyDescent="0.3">
      <c r="J63">
        <v>25</v>
      </c>
      <c r="K63">
        <v>51000</v>
      </c>
    </row>
    <row r="64" spans="2:11" x14ac:dyDescent="0.3">
      <c r="J64">
        <v>25</v>
      </c>
      <c r="K64">
        <v>53000</v>
      </c>
    </row>
    <row r="65" spans="10:11" x14ac:dyDescent="0.3">
      <c r="J65">
        <v>25</v>
      </c>
      <c r="K65">
        <v>53500</v>
      </c>
    </row>
    <row r="66" spans="10:11" x14ac:dyDescent="0.3">
      <c r="J66">
        <v>25</v>
      </c>
      <c r="K66">
        <v>57000</v>
      </c>
    </row>
    <row r="67" spans="10:11" x14ac:dyDescent="0.3">
      <c r="J67">
        <v>25</v>
      </c>
      <c r="K67">
        <v>57000</v>
      </c>
    </row>
    <row r="68" spans="10:11" x14ac:dyDescent="0.3">
      <c r="J68">
        <v>25</v>
      </c>
      <c r="K68">
        <v>58000</v>
      </c>
    </row>
    <row r="69" spans="10:11" x14ac:dyDescent="0.3">
      <c r="J69">
        <v>25</v>
      </c>
      <c r="K69">
        <v>60000</v>
      </c>
    </row>
    <row r="70" spans="10:11" x14ac:dyDescent="0.3">
      <c r="J70">
        <v>25</v>
      </c>
      <c r="K70">
        <v>60000</v>
      </c>
    </row>
    <row r="71" spans="10:11" x14ac:dyDescent="0.3">
      <c r="J71">
        <v>25</v>
      </c>
      <c r="K71">
        <v>60000</v>
      </c>
    </row>
    <row r="72" spans="10:11" x14ac:dyDescent="0.3">
      <c r="J72">
        <v>25</v>
      </c>
      <c r="K72">
        <v>60000</v>
      </c>
    </row>
    <row r="73" spans="10:11" x14ac:dyDescent="0.3">
      <c r="J73">
        <v>25</v>
      </c>
      <c r="K73">
        <v>60000</v>
      </c>
    </row>
    <row r="74" spans="10:11" x14ac:dyDescent="0.3">
      <c r="J74">
        <v>25</v>
      </c>
      <c r="K74">
        <v>60000</v>
      </c>
    </row>
    <row r="75" spans="10:11" x14ac:dyDescent="0.3">
      <c r="J75">
        <v>25</v>
      </c>
      <c r="K75">
        <v>61500</v>
      </c>
    </row>
    <row r="76" spans="10:11" x14ac:dyDescent="0.3">
      <c r="J76">
        <v>25</v>
      </c>
      <c r="K76">
        <v>62000</v>
      </c>
    </row>
    <row r="77" spans="10:11" x14ac:dyDescent="0.3">
      <c r="J77">
        <v>25</v>
      </c>
      <c r="K77">
        <v>62000</v>
      </c>
    </row>
    <row r="78" spans="10:11" x14ac:dyDescent="0.3">
      <c r="J78">
        <v>25</v>
      </c>
      <c r="K78">
        <v>63700</v>
      </c>
    </row>
    <row r="79" spans="10:11" x14ac:dyDescent="0.3">
      <c r="J79">
        <v>25</v>
      </c>
      <c r="K79">
        <v>65000</v>
      </c>
    </row>
    <row r="80" spans="10:11" x14ac:dyDescent="0.3">
      <c r="J80">
        <v>25</v>
      </c>
      <c r="K80">
        <v>65000</v>
      </c>
    </row>
    <row r="81" spans="10:11" x14ac:dyDescent="0.3">
      <c r="J81">
        <v>25</v>
      </c>
      <c r="K81">
        <v>65000</v>
      </c>
    </row>
    <row r="82" spans="10:11" x14ac:dyDescent="0.3">
      <c r="J82">
        <v>25</v>
      </c>
      <c r="K82">
        <v>65000</v>
      </c>
    </row>
    <row r="83" spans="10:11" x14ac:dyDescent="0.3">
      <c r="J83">
        <v>25</v>
      </c>
      <c r="K83">
        <v>65000</v>
      </c>
    </row>
    <row r="84" spans="10:11" x14ac:dyDescent="0.3">
      <c r="J84">
        <v>25</v>
      </c>
      <c r="K84">
        <v>65000</v>
      </c>
    </row>
    <row r="85" spans="10:11" x14ac:dyDescent="0.3">
      <c r="J85">
        <v>25</v>
      </c>
      <c r="K85">
        <v>65000</v>
      </c>
    </row>
    <row r="86" spans="10:11" x14ac:dyDescent="0.3">
      <c r="J86">
        <v>25</v>
      </c>
      <c r="K86">
        <v>70000</v>
      </c>
    </row>
    <row r="87" spans="10:11" x14ac:dyDescent="0.3">
      <c r="J87">
        <v>25</v>
      </c>
      <c r="K87">
        <v>71750</v>
      </c>
    </row>
    <row r="88" spans="10:11" x14ac:dyDescent="0.3">
      <c r="J88">
        <v>25</v>
      </c>
      <c r="K88">
        <v>75000</v>
      </c>
    </row>
    <row r="89" spans="10:11" x14ac:dyDescent="0.3">
      <c r="J89">
        <v>25</v>
      </c>
      <c r="K89">
        <v>75000</v>
      </c>
    </row>
    <row r="90" spans="10:11" x14ac:dyDescent="0.3">
      <c r="J90">
        <v>25</v>
      </c>
      <c r="K90">
        <v>80000</v>
      </c>
    </row>
    <row r="91" spans="10:11" x14ac:dyDescent="0.3">
      <c r="J91">
        <v>25</v>
      </c>
      <c r="K91">
        <v>85000</v>
      </c>
    </row>
    <row r="92" spans="10:11" x14ac:dyDescent="0.3">
      <c r="J92">
        <v>25</v>
      </c>
      <c r="K92">
        <v>86000</v>
      </c>
    </row>
    <row r="93" spans="10:11" x14ac:dyDescent="0.3">
      <c r="J93">
        <v>25</v>
      </c>
      <c r="K93">
        <v>100000</v>
      </c>
    </row>
    <row r="94" spans="10:11" x14ac:dyDescent="0.3">
      <c r="J94">
        <v>26</v>
      </c>
      <c r="K94">
        <v>20000</v>
      </c>
    </row>
    <row r="95" spans="10:11" x14ac:dyDescent="0.3">
      <c r="J95">
        <v>26</v>
      </c>
      <c r="K95">
        <v>20000</v>
      </c>
    </row>
    <row r="96" spans="10:11" x14ac:dyDescent="0.3">
      <c r="J96">
        <v>26</v>
      </c>
      <c r="K96">
        <v>21000</v>
      </c>
    </row>
    <row r="97" spans="10:11" x14ac:dyDescent="0.3">
      <c r="J97">
        <v>26</v>
      </c>
      <c r="K97">
        <v>24000</v>
      </c>
    </row>
    <row r="98" spans="10:11" x14ac:dyDescent="0.3">
      <c r="J98">
        <v>26</v>
      </c>
      <c r="K98">
        <v>25000</v>
      </c>
    </row>
    <row r="99" spans="10:11" x14ac:dyDescent="0.3">
      <c r="J99">
        <v>26</v>
      </c>
      <c r="K99">
        <v>32000</v>
      </c>
    </row>
    <row r="100" spans="10:11" x14ac:dyDescent="0.3">
      <c r="J100">
        <v>26</v>
      </c>
      <c r="K100">
        <v>33000</v>
      </c>
    </row>
    <row r="101" spans="10:11" x14ac:dyDescent="0.3">
      <c r="J101">
        <v>26</v>
      </c>
      <c r="K101">
        <v>37000</v>
      </c>
    </row>
    <row r="102" spans="10:11" x14ac:dyDescent="0.3">
      <c r="J102">
        <v>26</v>
      </c>
      <c r="K102">
        <v>38350</v>
      </c>
    </row>
    <row r="103" spans="10:11" x14ac:dyDescent="0.3">
      <c r="J103">
        <v>26</v>
      </c>
      <c r="K103">
        <v>40000</v>
      </c>
    </row>
    <row r="104" spans="10:11" x14ac:dyDescent="0.3">
      <c r="J104">
        <v>26</v>
      </c>
      <c r="K104">
        <v>40000</v>
      </c>
    </row>
    <row r="105" spans="10:11" x14ac:dyDescent="0.3">
      <c r="J105">
        <v>26</v>
      </c>
      <c r="K105">
        <v>45000</v>
      </c>
    </row>
    <row r="106" spans="10:11" x14ac:dyDescent="0.3">
      <c r="J106">
        <v>26</v>
      </c>
      <c r="K106">
        <v>47000</v>
      </c>
    </row>
    <row r="107" spans="10:11" x14ac:dyDescent="0.3">
      <c r="J107">
        <v>26</v>
      </c>
      <c r="K107">
        <v>48000</v>
      </c>
    </row>
    <row r="108" spans="10:11" x14ac:dyDescent="0.3">
      <c r="J108">
        <v>26</v>
      </c>
      <c r="K108">
        <v>48000</v>
      </c>
    </row>
    <row r="109" spans="10:11" x14ac:dyDescent="0.3">
      <c r="J109">
        <v>26</v>
      </c>
      <c r="K109">
        <v>48000</v>
      </c>
    </row>
    <row r="110" spans="10:11" x14ac:dyDescent="0.3">
      <c r="J110">
        <v>26</v>
      </c>
      <c r="K110">
        <v>48000</v>
      </c>
    </row>
    <row r="111" spans="10:11" x14ac:dyDescent="0.3">
      <c r="J111">
        <v>26</v>
      </c>
      <c r="K111">
        <v>51000</v>
      </c>
    </row>
    <row r="112" spans="10:11" x14ac:dyDescent="0.3">
      <c r="J112">
        <v>26</v>
      </c>
      <c r="K112">
        <v>54000</v>
      </c>
    </row>
    <row r="113" spans="10:11" x14ac:dyDescent="0.3">
      <c r="J113">
        <v>26</v>
      </c>
      <c r="K113">
        <v>55000</v>
      </c>
    </row>
    <row r="114" spans="10:11" x14ac:dyDescent="0.3">
      <c r="J114">
        <v>26</v>
      </c>
      <c r="K114">
        <v>55000</v>
      </c>
    </row>
    <row r="115" spans="10:11" x14ac:dyDescent="0.3">
      <c r="J115">
        <v>26</v>
      </c>
      <c r="K115">
        <v>55000</v>
      </c>
    </row>
    <row r="116" spans="10:11" x14ac:dyDescent="0.3">
      <c r="J116">
        <v>26</v>
      </c>
      <c r="K116">
        <v>55500</v>
      </c>
    </row>
    <row r="117" spans="10:11" x14ac:dyDescent="0.3">
      <c r="J117">
        <v>26</v>
      </c>
      <c r="K117">
        <v>58000</v>
      </c>
    </row>
    <row r="118" spans="10:11" x14ac:dyDescent="0.3">
      <c r="J118">
        <v>26</v>
      </c>
      <c r="K118">
        <v>58000</v>
      </c>
    </row>
    <row r="119" spans="10:11" x14ac:dyDescent="0.3">
      <c r="J119">
        <v>26</v>
      </c>
      <c r="K119">
        <v>59000</v>
      </c>
    </row>
    <row r="120" spans="10:11" x14ac:dyDescent="0.3">
      <c r="J120">
        <v>26</v>
      </c>
      <c r="K120">
        <v>60000</v>
      </c>
    </row>
    <row r="121" spans="10:11" x14ac:dyDescent="0.3">
      <c r="J121">
        <v>26</v>
      </c>
      <c r="K121">
        <v>60000</v>
      </c>
    </row>
    <row r="122" spans="10:11" x14ac:dyDescent="0.3">
      <c r="J122">
        <v>26</v>
      </c>
      <c r="K122">
        <v>60000</v>
      </c>
    </row>
    <row r="123" spans="10:11" x14ac:dyDescent="0.3">
      <c r="J123">
        <v>26</v>
      </c>
      <c r="K123">
        <v>60000</v>
      </c>
    </row>
    <row r="124" spans="10:11" x14ac:dyDescent="0.3">
      <c r="J124">
        <v>26</v>
      </c>
      <c r="K124">
        <v>60000</v>
      </c>
    </row>
    <row r="125" spans="10:11" x14ac:dyDescent="0.3">
      <c r="J125">
        <v>26</v>
      </c>
      <c r="K125">
        <v>60000</v>
      </c>
    </row>
    <row r="126" spans="10:11" x14ac:dyDescent="0.3">
      <c r="J126">
        <v>26</v>
      </c>
      <c r="K126">
        <v>63000</v>
      </c>
    </row>
    <row r="127" spans="10:11" x14ac:dyDescent="0.3">
      <c r="J127">
        <v>26</v>
      </c>
      <c r="K127">
        <v>64000</v>
      </c>
    </row>
    <row r="128" spans="10:11" x14ac:dyDescent="0.3">
      <c r="J128">
        <v>26</v>
      </c>
      <c r="K128">
        <v>65000</v>
      </c>
    </row>
    <row r="129" spans="10:11" x14ac:dyDescent="0.3">
      <c r="J129">
        <v>26</v>
      </c>
      <c r="K129">
        <v>65000</v>
      </c>
    </row>
    <row r="130" spans="10:11" x14ac:dyDescent="0.3">
      <c r="J130">
        <v>26</v>
      </c>
      <c r="K130">
        <v>65000</v>
      </c>
    </row>
    <row r="131" spans="10:11" x14ac:dyDescent="0.3">
      <c r="J131">
        <v>26</v>
      </c>
      <c r="K131">
        <v>65000</v>
      </c>
    </row>
    <row r="132" spans="10:11" x14ac:dyDescent="0.3">
      <c r="J132">
        <v>26</v>
      </c>
      <c r="K132">
        <v>65000</v>
      </c>
    </row>
    <row r="133" spans="10:11" x14ac:dyDescent="0.3">
      <c r="J133">
        <v>26</v>
      </c>
      <c r="K133">
        <v>65000</v>
      </c>
    </row>
    <row r="134" spans="10:11" x14ac:dyDescent="0.3">
      <c r="J134">
        <v>26</v>
      </c>
      <c r="K134">
        <v>65000</v>
      </c>
    </row>
    <row r="135" spans="10:11" x14ac:dyDescent="0.3">
      <c r="J135">
        <v>26</v>
      </c>
      <c r="K135">
        <v>65000</v>
      </c>
    </row>
    <row r="136" spans="10:11" x14ac:dyDescent="0.3">
      <c r="J136">
        <v>26</v>
      </c>
      <c r="K136">
        <v>69000</v>
      </c>
    </row>
    <row r="137" spans="10:11" x14ac:dyDescent="0.3">
      <c r="J137">
        <v>26</v>
      </c>
      <c r="K137">
        <v>70000</v>
      </c>
    </row>
    <row r="138" spans="10:11" x14ac:dyDescent="0.3">
      <c r="J138">
        <v>26</v>
      </c>
      <c r="K138">
        <v>70000</v>
      </c>
    </row>
    <row r="139" spans="10:11" x14ac:dyDescent="0.3">
      <c r="J139">
        <v>26</v>
      </c>
      <c r="K139">
        <v>70000</v>
      </c>
    </row>
    <row r="140" spans="10:11" x14ac:dyDescent="0.3">
      <c r="J140">
        <v>26</v>
      </c>
      <c r="K140">
        <v>71000</v>
      </c>
    </row>
    <row r="141" spans="10:11" x14ac:dyDescent="0.3">
      <c r="J141">
        <v>26</v>
      </c>
      <c r="K141">
        <v>72000</v>
      </c>
    </row>
    <row r="142" spans="10:11" x14ac:dyDescent="0.3">
      <c r="J142">
        <v>26</v>
      </c>
      <c r="K142">
        <v>72000</v>
      </c>
    </row>
    <row r="143" spans="10:11" x14ac:dyDescent="0.3">
      <c r="J143">
        <v>26</v>
      </c>
      <c r="K143">
        <v>72000</v>
      </c>
    </row>
    <row r="144" spans="10:11" x14ac:dyDescent="0.3">
      <c r="J144">
        <v>26</v>
      </c>
      <c r="K144">
        <v>75000</v>
      </c>
    </row>
    <row r="145" spans="10:11" x14ac:dyDescent="0.3">
      <c r="J145">
        <v>26</v>
      </c>
      <c r="K145">
        <v>78000</v>
      </c>
    </row>
    <row r="146" spans="10:11" x14ac:dyDescent="0.3">
      <c r="J146">
        <v>26</v>
      </c>
      <c r="K146">
        <v>80000</v>
      </c>
    </row>
    <row r="147" spans="10:11" x14ac:dyDescent="0.3">
      <c r="J147">
        <v>26</v>
      </c>
      <c r="K147">
        <v>80000</v>
      </c>
    </row>
    <row r="148" spans="10:11" x14ac:dyDescent="0.3">
      <c r="J148">
        <v>26</v>
      </c>
      <c r="K148">
        <v>85000</v>
      </c>
    </row>
    <row r="149" spans="10:11" x14ac:dyDescent="0.3">
      <c r="J149">
        <v>26</v>
      </c>
      <c r="K149">
        <v>93000</v>
      </c>
    </row>
    <row r="150" spans="10:11" x14ac:dyDescent="0.3">
      <c r="J150">
        <v>26</v>
      </c>
      <c r="K150">
        <v>105000</v>
      </c>
    </row>
    <row r="151" spans="10:11" x14ac:dyDescent="0.3">
      <c r="J151">
        <v>26</v>
      </c>
      <c r="K151">
        <v>120000</v>
      </c>
    </row>
    <row r="152" spans="10:11" x14ac:dyDescent="0.3">
      <c r="J152">
        <v>26</v>
      </c>
      <c r="K152">
        <v>180000</v>
      </c>
    </row>
    <row r="153" spans="10:11" x14ac:dyDescent="0.3">
      <c r="J153">
        <v>27</v>
      </c>
      <c r="K153">
        <v>10001</v>
      </c>
    </row>
    <row r="154" spans="10:11" x14ac:dyDescent="0.3">
      <c r="J154">
        <v>27</v>
      </c>
      <c r="K154">
        <v>11000</v>
      </c>
    </row>
    <row r="155" spans="10:11" x14ac:dyDescent="0.3">
      <c r="J155">
        <v>27</v>
      </c>
      <c r="K155">
        <v>17500</v>
      </c>
    </row>
    <row r="156" spans="10:11" x14ac:dyDescent="0.3">
      <c r="J156">
        <v>27</v>
      </c>
      <c r="K156">
        <v>21120</v>
      </c>
    </row>
    <row r="157" spans="10:11" x14ac:dyDescent="0.3">
      <c r="J157">
        <v>27</v>
      </c>
      <c r="K157">
        <v>25300</v>
      </c>
    </row>
    <row r="158" spans="10:11" x14ac:dyDescent="0.3">
      <c r="J158">
        <v>27</v>
      </c>
      <c r="K158">
        <v>35000</v>
      </c>
    </row>
    <row r="159" spans="10:11" x14ac:dyDescent="0.3">
      <c r="J159">
        <v>27</v>
      </c>
      <c r="K159">
        <v>40000</v>
      </c>
    </row>
    <row r="160" spans="10:11" x14ac:dyDescent="0.3">
      <c r="J160">
        <v>27</v>
      </c>
      <c r="K160">
        <v>42000</v>
      </c>
    </row>
    <row r="161" spans="10:11" x14ac:dyDescent="0.3">
      <c r="J161">
        <v>27</v>
      </c>
      <c r="K161">
        <v>45000</v>
      </c>
    </row>
    <row r="162" spans="10:11" x14ac:dyDescent="0.3">
      <c r="J162">
        <v>27</v>
      </c>
      <c r="K162">
        <v>45000</v>
      </c>
    </row>
    <row r="163" spans="10:11" x14ac:dyDescent="0.3">
      <c r="J163">
        <v>27</v>
      </c>
      <c r="K163">
        <v>46000</v>
      </c>
    </row>
    <row r="164" spans="10:11" x14ac:dyDescent="0.3">
      <c r="J164">
        <v>27</v>
      </c>
      <c r="K164">
        <v>48000</v>
      </c>
    </row>
    <row r="165" spans="10:11" x14ac:dyDescent="0.3">
      <c r="J165">
        <v>27</v>
      </c>
      <c r="K165">
        <v>49000</v>
      </c>
    </row>
    <row r="166" spans="10:11" x14ac:dyDescent="0.3">
      <c r="J166">
        <v>27</v>
      </c>
      <c r="K166">
        <v>50000</v>
      </c>
    </row>
    <row r="167" spans="10:11" x14ac:dyDescent="0.3">
      <c r="J167">
        <v>27</v>
      </c>
      <c r="K167">
        <v>50000</v>
      </c>
    </row>
    <row r="168" spans="10:11" x14ac:dyDescent="0.3">
      <c r="J168">
        <v>27</v>
      </c>
      <c r="K168">
        <v>50000</v>
      </c>
    </row>
    <row r="169" spans="10:11" x14ac:dyDescent="0.3">
      <c r="J169">
        <v>27</v>
      </c>
      <c r="K169">
        <v>50000</v>
      </c>
    </row>
    <row r="170" spans="10:11" x14ac:dyDescent="0.3">
      <c r="J170">
        <v>27</v>
      </c>
      <c r="K170">
        <v>52000</v>
      </c>
    </row>
    <row r="171" spans="10:11" x14ac:dyDescent="0.3">
      <c r="J171">
        <v>27</v>
      </c>
      <c r="K171">
        <v>52000</v>
      </c>
    </row>
    <row r="172" spans="10:11" x14ac:dyDescent="0.3">
      <c r="J172">
        <v>27</v>
      </c>
      <c r="K172">
        <v>55000</v>
      </c>
    </row>
    <row r="173" spans="10:11" x14ac:dyDescent="0.3">
      <c r="J173">
        <v>27</v>
      </c>
      <c r="K173">
        <v>55000</v>
      </c>
    </row>
    <row r="174" spans="10:11" x14ac:dyDescent="0.3">
      <c r="J174">
        <v>27</v>
      </c>
      <c r="K174">
        <v>56700</v>
      </c>
    </row>
    <row r="175" spans="10:11" x14ac:dyDescent="0.3">
      <c r="J175">
        <v>27</v>
      </c>
      <c r="K175">
        <v>57000</v>
      </c>
    </row>
    <row r="176" spans="10:11" x14ac:dyDescent="0.3">
      <c r="J176">
        <v>27</v>
      </c>
      <c r="K176">
        <v>58000</v>
      </c>
    </row>
    <row r="177" spans="10:11" x14ac:dyDescent="0.3">
      <c r="J177">
        <v>27</v>
      </c>
      <c r="K177">
        <v>58000</v>
      </c>
    </row>
    <row r="178" spans="10:11" x14ac:dyDescent="0.3">
      <c r="J178">
        <v>27</v>
      </c>
      <c r="K178">
        <v>58000</v>
      </c>
    </row>
    <row r="179" spans="10:11" x14ac:dyDescent="0.3">
      <c r="J179">
        <v>27</v>
      </c>
      <c r="K179">
        <v>60000</v>
      </c>
    </row>
    <row r="180" spans="10:11" x14ac:dyDescent="0.3">
      <c r="J180">
        <v>27</v>
      </c>
      <c r="K180">
        <v>60000</v>
      </c>
    </row>
    <row r="181" spans="10:11" x14ac:dyDescent="0.3">
      <c r="J181">
        <v>27</v>
      </c>
      <c r="K181">
        <v>60000</v>
      </c>
    </row>
    <row r="182" spans="10:11" x14ac:dyDescent="0.3">
      <c r="J182">
        <v>27</v>
      </c>
      <c r="K182">
        <v>60000</v>
      </c>
    </row>
    <row r="183" spans="10:11" x14ac:dyDescent="0.3">
      <c r="J183">
        <v>27</v>
      </c>
      <c r="K183">
        <v>62000</v>
      </c>
    </row>
    <row r="184" spans="10:11" x14ac:dyDescent="0.3">
      <c r="J184">
        <v>27</v>
      </c>
      <c r="K184">
        <v>63000</v>
      </c>
    </row>
    <row r="185" spans="10:11" x14ac:dyDescent="0.3">
      <c r="J185">
        <v>27</v>
      </c>
      <c r="K185">
        <v>63000</v>
      </c>
    </row>
    <row r="186" spans="10:11" x14ac:dyDescent="0.3">
      <c r="J186">
        <v>27</v>
      </c>
      <c r="K186">
        <v>63000</v>
      </c>
    </row>
    <row r="187" spans="10:11" x14ac:dyDescent="0.3">
      <c r="J187">
        <v>27</v>
      </c>
      <c r="K187">
        <v>64000</v>
      </c>
    </row>
    <row r="188" spans="10:11" x14ac:dyDescent="0.3">
      <c r="J188">
        <v>27</v>
      </c>
      <c r="K188">
        <v>65000</v>
      </c>
    </row>
    <row r="189" spans="10:11" x14ac:dyDescent="0.3">
      <c r="J189">
        <v>27</v>
      </c>
      <c r="K189">
        <v>65000</v>
      </c>
    </row>
    <row r="190" spans="10:11" x14ac:dyDescent="0.3">
      <c r="J190">
        <v>27</v>
      </c>
      <c r="K190">
        <v>65000</v>
      </c>
    </row>
    <row r="191" spans="10:11" x14ac:dyDescent="0.3">
      <c r="J191">
        <v>27</v>
      </c>
      <c r="K191">
        <v>65000</v>
      </c>
    </row>
    <row r="192" spans="10:11" x14ac:dyDescent="0.3">
      <c r="J192">
        <v>27</v>
      </c>
      <c r="K192">
        <v>65000</v>
      </c>
    </row>
    <row r="193" spans="10:11" x14ac:dyDescent="0.3">
      <c r="J193">
        <v>27</v>
      </c>
      <c r="K193">
        <v>65000</v>
      </c>
    </row>
    <row r="194" spans="10:11" x14ac:dyDescent="0.3">
      <c r="J194">
        <v>27</v>
      </c>
      <c r="K194">
        <v>66000</v>
      </c>
    </row>
    <row r="195" spans="10:11" x14ac:dyDescent="0.3">
      <c r="J195">
        <v>27</v>
      </c>
      <c r="K195">
        <v>68000</v>
      </c>
    </row>
    <row r="196" spans="10:11" x14ac:dyDescent="0.3">
      <c r="J196">
        <v>27</v>
      </c>
      <c r="K196">
        <v>70000</v>
      </c>
    </row>
    <row r="197" spans="10:11" x14ac:dyDescent="0.3">
      <c r="J197">
        <v>27</v>
      </c>
      <c r="K197">
        <v>70000</v>
      </c>
    </row>
    <row r="198" spans="10:11" x14ac:dyDescent="0.3">
      <c r="J198">
        <v>27</v>
      </c>
      <c r="K198">
        <v>70000</v>
      </c>
    </row>
    <row r="199" spans="10:11" x14ac:dyDescent="0.3">
      <c r="J199">
        <v>27</v>
      </c>
      <c r="K199">
        <v>71000</v>
      </c>
    </row>
    <row r="200" spans="10:11" x14ac:dyDescent="0.3">
      <c r="J200">
        <v>27</v>
      </c>
      <c r="K200">
        <v>72000</v>
      </c>
    </row>
    <row r="201" spans="10:11" x14ac:dyDescent="0.3">
      <c r="J201">
        <v>27</v>
      </c>
      <c r="K201">
        <v>73000</v>
      </c>
    </row>
    <row r="202" spans="10:11" x14ac:dyDescent="0.3">
      <c r="J202">
        <v>27</v>
      </c>
      <c r="K202">
        <v>74000</v>
      </c>
    </row>
    <row r="203" spans="10:11" x14ac:dyDescent="0.3">
      <c r="J203">
        <v>27</v>
      </c>
      <c r="K203">
        <v>75000</v>
      </c>
    </row>
    <row r="204" spans="10:11" x14ac:dyDescent="0.3">
      <c r="J204">
        <v>27</v>
      </c>
      <c r="K204">
        <v>78000</v>
      </c>
    </row>
    <row r="205" spans="10:11" x14ac:dyDescent="0.3">
      <c r="J205">
        <v>27</v>
      </c>
      <c r="K205">
        <v>80000</v>
      </c>
    </row>
    <row r="206" spans="10:11" x14ac:dyDescent="0.3">
      <c r="J206">
        <v>27</v>
      </c>
      <c r="K206">
        <v>82000</v>
      </c>
    </row>
    <row r="207" spans="10:11" x14ac:dyDescent="0.3">
      <c r="J207">
        <v>27</v>
      </c>
      <c r="K207">
        <v>82000</v>
      </c>
    </row>
    <row r="208" spans="10:11" x14ac:dyDescent="0.3">
      <c r="J208">
        <v>27</v>
      </c>
      <c r="K208">
        <v>85600</v>
      </c>
    </row>
    <row r="209" spans="10:11" x14ac:dyDescent="0.3">
      <c r="J209">
        <v>27</v>
      </c>
      <c r="K209">
        <v>90000</v>
      </c>
    </row>
    <row r="210" spans="10:11" x14ac:dyDescent="0.3">
      <c r="J210">
        <v>27</v>
      </c>
      <c r="K210">
        <v>90000</v>
      </c>
    </row>
    <row r="211" spans="10:11" x14ac:dyDescent="0.3">
      <c r="J211">
        <v>28</v>
      </c>
      <c r="K211">
        <v>25000</v>
      </c>
    </row>
    <row r="212" spans="10:11" x14ac:dyDescent="0.3">
      <c r="J212">
        <v>28</v>
      </c>
      <c r="K212">
        <v>28000</v>
      </c>
    </row>
    <row r="213" spans="10:11" x14ac:dyDescent="0.3">
      <c r="J213">
        <v>28</v>
      </c>
      <c r="K213">
        <v>30000</v>
      </c>
    </row>
    <row r="214" spans="10:11" x14ac:dyDescent="0.3">
      <c r="J214">
        <v>28</v>
      </c>
      <c r="K214">
        <v>36000</v>
      </c>
    </row>
    <row r="215" spans="10:11" x14ac:dyDescent="0.3">
      <c r="J215">
        <v>28</v>
      </c>
      <c r="K215">
        <v>42000</v>
      </c>
    </row>
    <row r="216" spans="10:11" x14ac:dyDescent="0.3">
      <c r="J216">
        <v>28</v>
      </c>
      <c r="K216">
        <v>43000</v>
      </c>
    </row>
    <row r="217" spans="10:11" x14ac:dyDescent="0.3">
      <c r="J217">
        <v>28</v>
      </c>
      <c r="K217">
        <v>44000</v>
      </c>
    </row>
    <row r="218" spans="10:11" x14ac:dyDescent="0.3">
      <c r="J218">
        <v>28</v>
      </c>
      <c r="K218">
        <v>45000</v>
      </c>
    </row>
    <row r="219" spans="10:11" x14ac:dyDescent="0.3">
      <c r="J219">
        <v>28</v>
      </c>
      <c r="K219">
        <v>45000</v>
      </c>
    </row>
    <row r="220" spans="10:11" x14ac:dyDescent="0.3">
      <c r="J220">
        <v>28</v>
      </c>
      <c r="K220">
        <v>45000</v>
      </c>
    </row>
    <row r="221" spans="10:11" x14ac:dyDescent="0.3">
      <c r="J221">
        <v>28</v>
      </c>
      <c r="K221">
        <v>45000</v>
      </c>
    </row>
    <row r="222" spans="10:11" x14ac:dyDescent="0.3">
      <c r="J222">
        <v>28</v>
      </c>
      <c r="K222">
        <v>47000</v>
      </c>
    </row>
    <row r="223" spans="10:11" x14ac:dyDescent="0.3">
      <c r="J223">
        <v>28</v>
      </c>
      <c r="K223">
        <v>48000</v>
      </c>
    </row>
    <row r="224" spans="10:11" x14ac:dyDescent="0.3">
      <c r="J224">
        <v>28</v>
      </c>
      <c r="K224">
        <v>48000</v>
      </c>
    </row>
    <row r="225" spans="10:11" x14ac:dyDescent="0.3">
      <c r="J225">
        <v>28</v>
      </c>
      <c r="K225">
        <v>50000</v>
      </c>
    </row>
    <row r="226" spans="10:11" x14ac:dyDescent="0.3">
      <c r="J226">
        <v>28</v>
      </c>
      <c r="K226">
        <v>50000</v>
      </c>
    </row>
    <row r="227" spans="10:11" x14ac:dyDescent="0.3">
      <c r="J227">
        <v>28</v>
      </c>
      <c r="K227">
        <v>50000</v>
      </c>
    </row>
    <row r="228" spans="10:11" x14ac:dyDescent="0.3">
      <c r="J228">
        <v>28</v>
      </c>
      <c r="K228">
        <v>51000</v>
      </c>
    </row>
    <row r="229" spans="10:11" x14ac:dyDescent="0.3">
      <c r="J229">
        <v>28</v>
      </c>
      <c r="K229">
        <v>52800</v>
      </c>
    </row>
    <row r="230" spans="10:11" x14ac:dyDescent="0.3">
      <c r="J230">
        <v>28</v>
      </c>
      <c r="K230">
        <v>53000</v>
      </c>
    </row>
    <row r="231" spans="10:11" x14ac:dyDescent="0.3">
      <c r="J231">
        <v>28</v>
      </c>
      <c r="K231">
        <v>53000</v>
      </c>
    </row>
    <row r="232" spans="10:11" x14ac:dyDescent="0.3">
      <c r="J232">
        <v>28</v>
      </c>
      <c r="K232">
        <v>54000</v>
      </c>
    </row>
    <row r="233" spans="10:11" x14ac:dyDescent="0.3">
      <c r="J233">
        <v>28</v>
      </c>
      <c r="K233">
        <v>54000</v>
      </c>
    </row>
    <row r="234" spans="10:11" x14ac:dyDescent="0.3">
      <c r="J234">
        <v>28</v>
      </c>
      <c r="K234">
        <v>54500</v>
      </c>
    </row>
    <row r="235" spans="10:11" x14ac:dyDescent="0.3">
      <c r="J235">
        <v>28</v>
      </c>
      <c r="K235">
        <v>55000</v>
      </c>
    </row>
    <row r="236" spans="10:11" x14ac:dyDescent="0.3">
      <c r="J236">
        <v>28</v>
      </c>
      <c r="K236">
        <v>55000</v>
      </c>
    </row>
    <row r="237" spans="10:11" x14ac:dyDescent="0.3">
      <c r="J237">
        <v>28</v>
      </c>
      <c r="K237">
        <v>55000</v>
      </c>
    </row>
    <row r="238" spans="10:11" x14ac:dyDescent="0.3">
      <c r="J238">
        <v>28</v>
      </c>
      <c r="K238">
        <v>55000</v>
      </c>
    </row>
    <row r="239" spans="10:11" x14ac:dyDescent="0.3">
      <c r="J239">
        <v>28</v>
      </c>
      <c r="K239">
        <v>56000</v>
      </c>
    </row>
    <row r="240" spans="10:11" x14ac:dyDescent="0.3">
      <c r="J240">
        <v>28</v>
      </c>
      <c r="K240">
        <v>57000</v>
      </c>
    </row>
    <row r="241" spans="10:11" x14ac:dyDescent="0.3">
      <c r="J241">
        <v>28</v>
      </c>
      <c r="K241">
        <v>57000</v>
      </c>
    </row>
    <row r="242" spans="10:11" x14ac:dyDescent="0.3">
      <c r="J242">
        <v>28</v>
      </c>
      <c r="K242">
        <v>57000</v>
      </c>
    </row>
    <row r="243" spans="10:11" x14ac:dyDescent="0.3">
      <c r="J243">
        <v>28</v>
      </c>
      <c r="K243">
        <v>57000</v>
      </c>
    </row>
    <row r="244" spans="10:11" x14ac:dyDescent="0.3">
      <c r="J244">
        <v>28</v>
      </c>
      <c r="K244">
        <v>60000</v>
      </c>
    </row>
    <row r="245" spans="10:11" x14ac:dyDescent="0.3">
      <c r="J245">
        <v>28</v>
      </c>
      <c r="K245">
        <v>60000</v>
      </c>
    </row>
    <row r="246" spans="10:11" x14ac:dyDescent="0.3">
      <c r="J246">
        <v>28</v>
      </c>
      <c r="K246">
        <v>60000</v>
      </c>
    </row>
    <row r="247" spans="10:11" x14ac:dyDescent="0.3">
      <c r="J247">
        <v>28</v>
      </c>
      <c r="K247">
        <v>60000</v>
      </c>
    </row>
    <row r="248" spans="10:11" x14ac:dyDescent="0.3">
      <c r="J248">
        <v>28</v>
      </c>
      <c r="K248">
        <v>60000</v>
      </c>
    </row>
    <row r="249" spans="10:11" x14ac:dyDescent="0.3">
      <c r="J249">
        <v>28</v>
      </c>
      <c r="K249">
        <v>60000</v>
      </c>
    </row>
    <row r="250" spans="10:11" x14ac:dyDescent="0.3">
      <c r="J250">
        <v>28</v>
      </c>
      <c r="K250">
        <v>60000</v>
      </c>
    </row>
    <row r="251" spans="10:11" x14ac:dyDescent="0.3">
      <c r="J251">
        <v>28</v>
      </c>
      <c r="K251">
        <v>60000</v>
      </c>
    </row>
    <row r="252" spans="10:11" x14ac:dyDescent="0.3">
      <c r="J252">
        <v>28</v>
      </c>
      <c r="K252">
        <v>60000</v>
      </c>
    </row>
    <row r="253" spans="10:11" x14ac:dyDescent="0.3">
      <c r="J253">
        <v>28</v>
      </c>
      <c r="K253">
        <v>61200</v>
      </c>
    </row>
    <row r="254" spans="10:11" x14ac:dyDescent="0.3">
      <c r="J254">
        <v>28</v>
      </c>
      <c r="K254">
        <v>62000</v>
      </c>
    </row>
    <row r="255" spans="10:11" x14ac:dyDescent="0.3">
      <c r="J255">
        <v>28</v>
      </c>
      <c r="K255">
        <v>63000</v>
      </c>
    </row>
    <row r="256" spans="10:11" x14ac:dyDescent="0.3">
      <c r="J256">
        <v>28</v>
      </c>
      <c r="K256">
        <v>64000</v>
      </c>
    </row>
    <row r="257" spans="10:11" x14ac:dyDescent="0.3">
      <c r="J257">
        <v>28</v>
      </c>
      <c r="K257">
        <v>64000</v>
      </c>
    </row>
    <row r="258" spans="10:11" x14ac:dyDescent="0.3">
      <c r="J258">
        <v>28</v>
      </c>
      <c r="K258">
        <v>65000</v>
      </c>
    </row>
    <row r="259" spans="10:11" x14ac:dyDescent="0.3">
      <c r="J259">
        <v>28</v>
      </c>
      <c r="K259">
        <v>65000</v>
      </c>
    </row>
    <row r="260" spans="10:11" x14ac:dyDescent="0.3">
      <c r="J260">
        <v>28</v>
      </c>
      <c r="K260">
        <v>65000</v>
      </c>
    </row>
    <row r="261" spans="10:11" x14ac:dyDescent="0.3">
      <c r="J261">
        <v>28</v>
      </c>
      <c r="K261">
        <v>65000</v>
      </c>
    </row>
    <row r="262" spans="10:11" x14ac:dyDescent="0.3">
      <c r="J262">
        <v>28</v>
      </c>
      <c r="K262">
        <v>65000</v>
      </c>
    </row>
    <row r="263" spans="10:11" x14ac:dyDescent="0.3">
      <c r="J263">
        <v>28</v>
      </c>
      <c r="K263">
        <v>65000</v>
      </c>
    </row>
    <row r="264" spans="10:11" x14ac:dyDescent="0.3">
      <c r="J264">
        <v>28</v>
      </c>
      <c r="K264">
        <v>65000</v>
      </c>
    </row>
    <row r="265" spans="10:11" x14ac:dyDescent="0.3">
      <c r="J265">
        <v>28</v>
      </c>
      <c r="K265">
        <v>66000</v>
      </c>
    </row>
    <row r="266" spans="10:11" x14ac:dyDescent="0.3">
      <c r="J266">
        <v>28</v>
      </c>
      <c r="K266">
        <v>66000</v>
      </c>
    </row>
    <row r="267" spans="10:11" x14ac:dyDescent="0.3">
      <c r="J267">
        <v>28</v>
      </c>
      <c r="K267">
        <v>66000</v>
      </c>
    </row>
    <row r="268" spans="10:11" x14ac:dyDescent="0.3">
      <c r="J268">
        <v>28</v>
      </c>
      <c r="K268">
        <v>67000</v>
      </c>
    </row>
    <row r="269" spans="10:11" x14ac:dyDescent="0.3">
      <c r="J269">
        <v>28</v>
      </c>
      <c r="K269">
        <v>67000</v>
      </c>
    </row>
    <row r="270" spans="10:11" x14ac:dyDescent="0.3">
      <c r="J270">
        <v>28</v>
      </c>
      <c r="K270">
        <v>67200</v>
      </c>
    </row>
    <row r="271" spans="10:11" x14ac:dyDescent="0.3">
      <c r="J271">
        <v>28</v>
      </c>
      <c r="K271">
        <v>68000</v>
      </c>
    </row>
    <row r="272" spans="10:11" x14ac:dyDescent="0.3">
      <c r="J272">
        <v>28</v>
      </c>
      <c r="K272">
        <v>70000</v>
      </c>
    </row>
    <row r="273" spans="10:11" x14ac:dyDescent="0.3">
      <c r="J273">
        <v>28</v>
      </c>
      <c r="K273">
        <v>70000</v>
      </c>
    </row>
    <row r="274" spans="10:11" x14ac:dyDescent="0.3">
      <c r="J274">
        <v>28</v>
      </c>
      <c r="K274">
        <v>70000</v>
      </c>
    </row>
    <row r="275" spans="10:11" x14ac:dyDescent="0.3">
      <c r="J275">
        <v>28</v>
      </c>
      <c r="K275">
        <v>70000</v>
      </c>
    </row>
    <row r="276" spans="10:11" x14ac:dyDescent="0.3">
      <c r="J276">
        <v>28</v>
      </c>
      <c r="K276">
        <v>70800</v>
      </c>
    </row>
    <row r="277" spans="10:11" x14ac:dyDescent="0.3">
      <c r="J277">
        <v>28</v>
      </c>
      <c r="K277">
        <v>72000</v>
      </c>
    </row>
    <row r="278" spans="10:11" x14ac:dyDescent="0.3">
      <c r="J278">
        <v>28</v>
      </c>
      <c r="K278">
        <v>72000</v>
      </c>
    </row>
    <row r="279" spans="10:11" x14ac:dyDescent="0.3">
      <c r="J279">
        <v>28</v>
      </c>
      <c r="K279">
        <v>73700</v>
      </c>
    </row>
    <row r="280" spans="10:11" x14ac:dyDescent="0.3">
      <c r="J280">
        <v>28</v>
      </c>
      <c r="K280">
        <v>75000</v>
      </c>
    </row>
    <row r="281" spans="10:11" x14ac:dyDescent="0.3">
      <c r="J281">
        <v>28</v>
      </c>
      <c r="K281">
        <v>75000</v>
      </c>
    </row>
    <row r="282" spans="10:11" x14ac:dyDescent="0.3">
      <c r="J282">
        <v>28</v>
      </c>
      <c r="K282">
        <v>75000</v>
      </c>
    </row>
    <row r="283" spans="10:11" x14ac:dyDescent="0.3">
      <c r="J283">
        <v>28</v>
      </c>
      <c r="K283">
        <v>75000</v>
      </c>
    </row>
    <row r="284" spans="10:11" x14ac:dyDescent="0.3">
      <c r="J284">
        <v>28</v>
      </c>
      <c r="K284">
        <v>75000</v>
      </c>
    </row>
    <row r="285" spans="10:11" x14ac:dyDescent="0.3">
      <c r="J285">
        <v>28</v>
      </c>
      <c r="K285">
        <v>75000</v>
      </c>
    </row>
    <row r="286" spans="10:11" x14ac:dyDescent="0.3">
      <c r="J286">
        <v>28</v>
      </c>
      <c r="K286">
        <v>78000</v>
      </c>
    </row>
    <row r="287" spans="10:11" x14ac:dyDescent="0.3">
      <c r="J287">
        <v>28</v>
      </c>
      <c r="K287">
        <v>78000</v>
      </c>
    </row>
    <row r="288" spans="10:11" x14ac:dyDescent="0.3">
      <c r="J288">
        <v>28</v>
      </c>
      <c r="K288">
        <v>80000</v>
      </c>
    </row>
    <row r="289" spans="10:11" x14ac:dyDescent="0.3">
      <c r="J289">
        <v>28</v>
      </c>
      <c r="K289">
        <v>80000</v>
      </c>
    </row>
    <row r="290" spans="10:11" x14ac:dyDescent="0.3">
      <c r="J290">
        <v>28</v>
      </c>
      <c r="K290">
        <v>80000</v>
      </c>
    </row>
    <row r="291" spans="10:11" x14ac:dyDescent="0.3">
      <c r="J291">
        <v>28</v>
      </c>
      <c r="K291">
        <v>80000</v>
      </c>
    </row>
    <row r="292" spans="10:11" x14ac:dyDescent="0.3">
      <c r="J292">
        <v>28</v>
      </c>
      <c r="K292">
        <v>83000</v>
      </c>
    </row>
    <row r="293" spans="10:11" x14ac:dyDescent="0.3">
      <c r="J293">
        <v>28</v>
      </c>
      <c r="K293">
        <v>85000</v>
      </c>
    </row>
    <row r="294" spans="10:11" x14ac:dyDescent="0.3">
      <c r="J294">
        <v>28</v>
      </c>
      <c r="K294">
        <v>86000</v>
      </c>
    </row>
    <row r="295" spans="10:11" x14ac:dyDescent="0.3">
      <c r="J295">
        <v>28</v>
      </c>
      <c r="K295">
        <v>90000</v>
      </c>
    </row>
    <row r="296" spans="10:11" x14ac:dyDescent="0.3">
      <c r="J296">
        <v>28</v>
      </c>
      <c r="K296">
        <v>95000</v>
      </c>
    </row>
    <row r="297" spans="10:11" x14ac:dyDescent="0.3">
      <c r="J297">
        <v>28</v>
      </c>
      <c r="K297">
        <v>100000</v>
      </c>
    </row>
    <row r="298" spans="10:11" x14ac:dyDescent="0.3">
      <c r="J298">
        <v>29</v>
      </c>
      <c r="K298">
        <v>18700</v>
      </c>
    </row>
    <row r="299" spans="10:11" x14ac:dyDescent="0.3">
      <c r="J299">
        <v>29</v>
      </c>
      <c r="K299">
        <v>20000</v>
      </c>
    </row>
    <row r="300" spans="10:11" x14ac:dyDescent="0.3">
      <c r="J300">
        <v>29</v>
      </c>
      <c r="K300">
        <v>22000</v>
      </c>
    </row>
    <row r="301" spans="10:11" x14ac:dyDescent="0.3">
      <c r="J301">
        <v>29</v>
      </c>
      <c r="K301">
        <v>32000</v>
      </c>
    </row>
    <row r="302" spans="10:11" x14ac:dyDescent="0.3">
      <c r="J302">
        <v>29</v>
      </c>
      <c r="K302">
        <v>37500</v>
      </c>
    </row>
    <row r="303" spans="10:11" x14ac:dyDescent="0.3">
      <c r="J303">
        <v>29</v>
      </c>
      <c r="K303">
        <v>43000</v>
      </c>
    </row>
    <row r="304" spans="10:11" x14ac:dyDescent="0.3">
      <c r="J304">
        <v>29</v>
      </c>
      <c r="K304">
        <v>45000</v>
      </c>
    </row>
    <row r="305" spans="10:11" x14ac:dyDescent="0.3">
      <c r="J305">
        <v>29</v>
      </c>
      <c r="K305">
        <v>45000</v>
      </c>
    </row>
    <row r="306" spans="10:11" x14ac:dyDescent="0.3">
      <c r="J306">
        <v>29</v>
      </c>
      <c r="K306">
        <v>48000</v>
      </c>
    </row>
    <row r="307" spans="10:11" x14ac:dyDescent="0.3">
      <c r="J307">
        <v>29</v>
      </c>
      <c r="K307">
        <v>51000</v>
      </c>
    </row>
    <row r="308" spans="10:11" x14ac:dyDescent="0.3">
      <c r="J308">
        <v>29</v>
      </c>
      <c r="K308">
        <v>52000</v>
      </c>
    </row>
    <row r="309" spans="10:11" x14ac:dyDescent="0.3">
      <c r="J309">
        <v>29</v>
      </c>
      <c r="K309">
        <v>53000</v>
      </c>
    </row>
    <row r="310" spans="10:11" x14ac:dyDescent="0.3">
      <c r="J310">
        <v>29</v>
      </c>
      <c r="K310">
        <v>54000</v>
      </c>
    </row>
    <row r="311" spans="10:11" x14ac:dyDescent="0.3">
      <c r="J311">
        <v>29</v>
      </c>
      <c r="K311">
        <v>54000</v>
      </c>
    </row>
    <row r="312" spans="10:11" x14ac:dyDescent="0.3">
      <c r="J312">
        <v>29</v>
      </c>
      <c r="K312">
        <v>55000</v>
      </c>
    </row>
    <row r="313" spans="10:11" x14ac:dyDescent="0.3">
      <c r="J313">
        <v>29</v>
      </c>
      <c r="K313">
        <v>55000</v>
      </c>
    </row>
    <row r="314" spans="10:11" x14ac:dyDescent="0.3">
      <c r="J314">
        <v>29</v>
      </c>
      <c r="K314">
        <v>55000</v>
      </c>
    </row>
    <row r="315" spans="10:11" x14ac:dyDescent="0.3">
      <c r="J315">
        <v>29</v>
      </c>
      <c r="K315">
        <v>55000</v>
      </c>
    </row>
    <row r="316" spans="10:11" x14ac:dyDescent="0.3">
      <c r="J316">
        <v>29</v>
      </c>
      <c r="K316">
        <v>55200</v>
      </c>
    </row>
    <row r="317" spans="10:11" x14ac:dyDescent="0.3">
      <c r="J317">
        <v>29</v>
      </c>
      <c r="K317">
        <v>56000</v>
      </c>
    </row>
    <row r="318" spans="10:11" x14ac:dyDescent="0.3">
      <c r="J318">
        <v>29</v>
      </c>
      <c r="K318">
        <v>56000</v>
      </c>
    </row>
    <row r="319" spans="10:11" x14ac:dyDescent="0.3">
      <c r="J319">
        <v>29</v>
      </c>
      <c r="K319">
        <v>56000</v>
      </c>
    </row>
    <row r="320" spans="10:11" x14ac:dyDescent="0.3">
      <c r="J320">
        <v>29</v>
      </c>
      <c r="K320">
        <v>57000</v>
      </c>
    </row>
    <row r="321" spans="10:11" x14ac:dyDescent="0.3">
      <c r="J321">
        <v>29</v>
      </c>
      <c r="K321">
        <v>57000</v>
      </c>
    </row>
    <row r="322" spans="10:11" x14ac:dyDescent="0.3">
      <c r="J322">
        <v>29</v>
      </c>
      <c r="K322">
        <v>57750</v>
      </c>
    </row>
    <row r="323" spans="10:11" x14ac:dyDescent="0.3">
      <c r="J323">
        <v>29</v>
      </c>
      <c r="K323">
        <v>60000</v>
      </c>
    </row>
    <row r="324" spans="10:11" x14ac:dyDescent="0.3">
      <c r="J324">
        <v>29</v>
      </c>
      <c r="K324">
        <v>60000</v>
      </c>
    </row>
    <row r="325" spans="10:11" x14ac:dyDescent="0.3">
      <c r="J325">
        <v>29</v>
      </c>
      <c r="K325">
        <v>60000</v>
      </c>
    </row>
    <row r="326" spans="10:11" x14ac:dyDescent="0.3">
      <c r="J326">
        <v>29</v>
      </c>
      <c r="K326">
        <v>60350</v>
      </c>
    </row>
    <row r="327" spans="10:11" x14ac:dyDescent="0.3">
      <c r="J327">
        <v>29</v>
      </c>
      <c r="K327">
        <v>61500</v>
      </c>
    </row>
    <row r="328" spans="10:11" x14ac:dyDescent="0.3">
      <c r="J328">
        <v>29</v>
      </c>
      <c r="K328">
        <v>62000</v>
      </c>
    </row>
    <row r="329" spans="10:11" x14ac:dyDescent="0.3">
      <c r="J329">
        <v>29</v>
      </c>
      <c r="K329">
        <v>64000</v>
      </c>
    </row>
    <row r="330" spans="10:11" x14ac:dyDescent="0.3">
      <c r="J330">
        <v>29</v>
      </c>
      <c r="K330">
        <v>64000</v>
      </c>
    </row>
    <row r="331" spans="10:11" x14ac:dyDescent="0.3">
      <c r="J331">
        <v>29</v>
      </c>
      <c r="K331">
        <v>64800</v>
      </c>
    </row>
    <row r="332" spans="10:11" x14ac:dyDescent="0.3">
      <c r="J332">
        <v>29</v>
      </c>
      <c r="K332">
        <v>65000</v>
      </c>
    </row>
    <row r="333" spans="10:11" x14ac:dyDescent="0.3">
      <c r="J333">
        <v>29</v>
      </c>
      <c r="K333">
        <v>65000</v>
      </c>
    </row>
    <row r="334" spans="10:11" x14ac:dyDescent="0.3">
      <c r="J334">
        <v>29</v>
      </c>
      <c r="K334">
        <v>65000</v>
      </c>
    </row>
    <row r="335" spans="10:11" x14ac:dyDescent="0.3">
      <c r="J335">
        <v>29</v>
      </c>
      <c r="K335">
        <v>65000</v>
      </c>
    </row>
    <row r="336" spans="10:11" x14ac:dyDescent="0.3">
      <c r="J336">
        <v>29</v>
      </c>
      <c r="K336">
        <v>65000</v>
      </c>
    </row>
    <row r="337" spans="10:11" x14ac:dyDescent="0.3">
      <c r="J337">
        <v>29</v>
      </c>
      <c r="K337">
        <v>65000</v>
      </c>
    </row>
    <row r="338" spans="10:11" x14ac:dyDescent="0.3">
      <c r="J338">
        <v>29</v>
      </c>
      <c r="K338">
        <v>65400</v>
      </c>
    </row>
    <row r="339" spans="10:11" x14ac:dyDescent="0.3">
      <c r="J339">
        <v>29</v>
      </c>
      <c r="K339">
        <v>66000</v>
      </c>
    </row>
    <row r="340" spans="10:11" x14ac:dyDescent="0.3">
      <c r="J340">
        <v>29</v>
      </c>
      <c r="K340">
        <v>66000</v>
      </c>
    </row>
    <row r="341" spans="10:11" x14ac:dyDescent="0.3">
      <c r="J341">
        <v>29</v>
      </c>
      <c r="K341">
        <v>67000</v>
      </c>
    </row>
    <row r="342" spans="10:11" x14ac:dyDescent="0.3">
      <c r="J342">
        <v>29</v>
      </c>
      <c r="K342">
        <v>68000</v>
      </c>
    </row>
    <row r="343" spans="10:11" x14ac:dyDescent="0.3">
      <c r="J343">
        <v>29</v>
      </c>
      <c r="K343">
        <v>68000</v>
      </c>
    </row>
    <row r="344" spans="10:11" x14ac:dyDescent="0.3">
      <c r="J344">
        <v>29</v>
      </c>
      <c r="K344">
        <v>69000</v>
      </c>
    </row>
    <row r="345" spans="10:11" x14ac:dyDescent="0.3">
      <c r="J345">
        <v>29</v>
      </c>
      <c r="K345">
        <v>70000</v>
      </c>
    </row>
    <row r="346" spans="10:11" x14ac:dyDescent="0.3">
      <c r="J346">
        <v>29</v>
      </c>
      <c r="K346">
        <v>70000</v>
      </c>
    </row>
    <row r="347" spans="10:11" x14ac:dyDescent="0.3">
      <c r="J347">
        <v>29</v>
      </c>
      <c r="K347">
        <v>70000</v>
      </c>
    </row>
    <row r="348" spans="10:11" x14ac:dyDescent="0.3">
      <c r="J348">
        <v>29</v>
      </c>
      <c r="K348">
        <v>70000</v>
      </c>
    </row>
    <row r="349" spans="10:11" x14ac:dyDescent="0.3">
      <c r="J349">
        <v>29</v>
      </c>
      <c r="K349">
        <v>70000</v>
      </c>
    </row>
    <row r="350" spans="10:11" x14ac:dyDescent="0.3">
      <c r="J350">
        <v>29</v>
      </c>
      <c r="K350">
        <v>70000</v>
      </c>
    </row>
    <row r="351" spans="10:11" x14ac:dyDescent="0.3">
      <c r="J351">
        <v>29</v>
      </c>
      <c r="K351">
        <v>72000</v>
      </c>
    </row>
    <row r="352" spans="10:11" x14ac:dyDescent="0.3">
      <c r="J352">
        <v>29</v>
      </c>
      <c r="K352">
        <v>72000</v>
      </c>
    </row>
    <row r="353" spans="10:11" x14ac:dyDescent="0.3">
      <c r="J353">
        <v>29</v>
      </c>
      <c r="K353">
        <v>72000</v>
      </c>
    </row>
    <row r="354" spans="10:11" x14ac:dyDescent="0.3">
      <c r="J354">
        <v>29</v>
      </c>
      <c r="K354">
        <v>73000</v>
      </c>
    </row>
    <row r="355" spans="10:11" x14ac:dyDescent="0.3">
      <c r="J355">
        <v>29</v>
      </c>
      <c r="K355">
        <v>73000</v>
      </c>
    </row>
    <row r="356" spans="10:11" x14ac:dyDescent="0.3">
      <c r="J356">
        <v>29</v>
      </c>
      <c r="K356">
        <v>74000</v>
      </c>
    </row>
    <row r="357" spans="10:11" x14ac:dyDescent="0.3">
      <c r="J357">
        <v>29</v>
      </c>
      <c r="K357">
        <v>75000</v>
      </c>
    </row>
    <row r="358" spans="10:11" x14ac:dyDescent="0.3">
      <c r="J358">
        <v>29</v>
      </c>
      <c r="K358">
        <v>75000</v>
      </c>
    </row>
    <row r="359" spans="10:11" x14ac:dyDescent="0.3">
      <c r="J359">
        <v>29</v>
      </c>
      <c r="K359">
        <v>75000</v>
      </c>
    </row>
    <row r="360" spans="10:11" x14ac:dyDescent="0.3">
      <c r="J360">
        <v>29</v>
      </c>
      <c r="K360">
        <v>75000</v>
      </c>
    </row>
    <row r="361" spans="10:11" x14ac:dyDescent="0.3">
      <c r="J361">
        <v>29</v>
      </c>
      <c r="K361">
        <v>75000</v>
      </c>
    </row>
    <row r="362" spans="10:11" x14ac:dyDescent="0.3">
      <c r="J362">
        <v>29</v>
      </c>
      <c r="K362">
        <v>75000</v>
      </c>
    </row>
    <row r="363" spans="10:11" x14ac:dyDescent="0.3">
      <c r="J363">
        <v>29</v>
      </c>
      <c r="K363">
        <v>77250</v>
      </c>
    </row>
    <row r="364" spans="10:11" x14ac:dyDescent="0.3">
      <c r="J364">
        <v>29</v>
      </c>
      <c r="K364">
        <v>78000</v>
      </c>
    </row>
    <row r="365" spans="10:11" x14ac:dyDescent="0.3">
      <c r="J365">
        <v>29</v>
      </c>
      <c r="K365">
        <v>78000</v>
      </c>
    </row>
    <row r="366" spans="10:11" x14ac:dyDescent="0.3">
      <c r="J366">
        <v>29</v>
      </c>
      <c r="K366">
        <v>78000</v>
      </c>
    </row>
    <row r="367" spans="10:11" x14ac:dyDescent="0.3">
      <c r="J367">
        <v>29</v>
      </c>
      <c r="K367">
        <v>80000</v>
      </c>
    </row>
    <row r="368" spans="10:11" x14ac:dyDescent="0.3">
      <c r="J368">
        <v>29</v>
      </c>
      <c r="K368">
        <v>80000</v>
      </c>
    </row>
    <row r="369" spans="10:11" x14ac:dyDescent="0.3">
      <c r="J369">
        <v>29</v>
      </c>
      <c r="K369">
        <v>80000</v>
      </c>
    </row>
    <row r="370" spans="10:11" x14ac:dyDescent="0.3">
      <c r="J370">
        <v>29</v>
      </c>
      <c r="K370">
        <v>81000</v>
      </c>
    </row>
    <row r="371" spans="10:11" x14ac:dyDescent="0.3">
      <c r="J371">
        <v>29</v>
      </c>
      <c r="K371">
        <v>82000</v>
      </c>
    </row>
    <row r="372" spans="10:11" x14ac:dyDescent="0.3">
      <c r="J372">
        <v>29</v>
      </c>
      <c r="K372">
        <v>82500</v>
      </c>
    </row>
    <row r="373" spans="10:11" x14ac:dyDescent="0.3">
      <c r="J373">
        <v>29</v>
      </c>
      <c r="K373">
        <v>85000</v>
      </c>
    </row>
    <row r="374" spans="10:11" x14ac:dyDescent="0.3">
      <c r="J374">
        <v>29</v>
      </c>
      <c r="K374">
        <v>85000</v>
      </c>
    </row>
    <row r="375" spans="10:11" x14ac:dyDescent="0.3">
      <c r="J375">
        <v>29</v>
      </c>
      <c r="K375">
        <v>85000</v>
      </c>
    </row>
    <row r="376" spans="10:11" x14ac:dyDescent="0.3">
      <c r="J376">
        <v>29</v>
      </c>
      <c r="K376">
        <v>85000</v>
      </c>
    </row>
    <row r="377" spans="10:11" x14ac:dyDescent="0.3">
      <c r="J377">
        <v>29</v>
      </c>
      <c r="K377">
        <v>92000</v>
      </c>
    </row>
    <row r="378" spans="10:11" x14ac:dyDescent="0.3">
      <c r="J378">
        <v>29</v>
      </c>
      <c r="K378">
        <v>95000</v>
      </c>
    </row>
    <row r="379" spans="10:11" x14ac:dyDescent="0.3">
      <c r="J379">
        <v>29</v>
      </c>
      <c r="K379">
        <v>113000</v>
      </c>
    </row>
    <row r="380" spans="10:11" x14ac:dyDescent="0.3">
      <c r="J380">
        <v>29</v>
      </c>
      <c r="K380">
        <v>115000</v>
      </c>
    </row>
    <row r="381" spans="10:11" x14ac:dyDescent="0.3">
      <c r="J381">
        <v>29</v>
      </c>
      <c r="K381">
        <v>120000</v>
      </c>
    </row>
    <row r="382" spans="10:11" x14ac:dyDescent="0.3">
      <c r="J382">
        <v>29</v>
      </c>
      <c r="K382">
        <v>140000</v>
      </c>
    </row>
    <row r="383" spans="10:11" x14ac:dyDescent="0.3">
      <c r="J383">
        <v>30</v>
      </c>
      <c r="K383">
        <v>12000</v>
      </c>
    </row>
    <row r="384" spans="10:11" x14ac:dyDescent="0.3">
      <c r="J384">
        <v>30</v>
      </c>
      <c r="K384">
        <v>13000</v>
      </c>
    </row>
    <row r="385" spans="10:11" x14ac:dyDescent="0.3">
      <c r="J385">
        <v>30</v>
      </c>
      <c r="K385">
        <v>14712</v>
      </c>
    </row>
    <row r="386" spans="10:11" x14ac:dyDescent="0.3">
      <c r="J386">
        <v>30</v>
      </c>
      <c r="K386">
        <v>27000</v>
      </c>
    </row>
    <row r="387" spans="10:11" x14ac:dyDescent="0.3">
      <c r="J387">
        <v>30</v>
      </c>
      <c r="K387">
        <v>30000</v>
      </c>
    </row>
    <row r="388" spans="10:11" x14ac:dyDescent="0.3">
      <c r="J388">
        <v>30</v>
      </c>
      <c r="K388">
        <v>30000</v>
      </c>
    </row>
    <row r="389" spans="10:11" x14ac:dyDescent="0.3">
      <c r="J389">
        <v>30</v>
      </c>
      <c r="K389">
        <v>40000</v>
      </c>
    </row>
    <row r="390" spans="10:11" x14ac:dyDescent="0.3">
      <c r="J390">
        <v>30</v>
      </c>
      <c r="K390">
        <v>42000</v>
      </c>
    </row>
    <row r="391" spans="10:11" x14ac:dyDescent="0.3">
      <c r="J391">
        <v>30</v>
      </c>
      <c r="K391">
        <v>45000</v>
      </c>
    </row>
    <row r="392" spans="10:11" x14ac:dyDescent="0.3">
      <c r="J392">
        <v>30</v>
      </c>
      <c r="K392">
        <v>45000</v>
      </c>
    </row>
    <row r="393" spans="10:11" x14ac:dyDescent="0.3">
      <c r="J393">
        <v>30</v>
      </c>
      <c r="K393">
        <v>48000</v>
      </c>
    </row>
    <row r="394" spans="10:11" x14ac:dyDescent="0.3">
      <c r="J394">
        <v>30</v>
      </c>
      <c r="K394">
        <v>48000</v>
      </c>
    </row>
    <row r="395" spans="10:11" x14ac:dyDescent="0.3">
      <c r="J395">
        <v>30</v>
      </c>
      <c r="K395">
        <v>49000</v>
      </c>
    </row>
    <row r="396" spans="10:11" x14ac:dyDescent="0.3">
      <c r="J396">
        <v>30</v>
      </c>
      <c r="K396">
        <v>50000</v>
      </c>
    </row>
    <row r="397" spans="10:11" x14ac:dyDescent="0.3">
      <c r="J397">
        <v>30</v>
      </c>
      <c r="K397">
        <v>50000</v>
      </c>
    </row>
    <row r="398" spans="10:11" x14ac:dyDescent="0.3">
      <c r="J398">
        <v>30</v>
      </c>
      <c r="K398">
        <v>50000</v>
      </c>
    </row>
    <row r="399" spans="10:11" x14ac:dyDescent="0.3">
      <c r="J399">
        <v>30</v>
      </c>
      <c r="K399">
        <v>51000</v>
      </c>
    </row>
    <row r="400" spans="10:11" x14ac:dyDescent="0.3">
      <c r="J400">
        <v>30</v>
      </c>
      <c r="K400">
        <v>51000</v>
      </c>
    </row>
    <row r="401" spans="10:11" x14ac:dyDescent="0.3">
      <c r="J401">
        <v>30</v>
      </c>
      <c r="K401">
        <v>52000</v>
      </c>
    </row>
    <row r="402" spans="10:11" x14ac:dyDescent="0.3">
      <c r="J402">
        <v>30</v>
      </c>
      <c r="K402">
        <v>52000</v>
      </c>
    </row>
    <row r="403" spans="10:11" x14ac:dyDescent="0.3">
      <c r="J403">
        <v>30</v>
      </c>
      <c r="K403">
        <v>52500</v>
      </c>
    </row>
    <row r="404" spans="10:11" x14ac:dyDescent="0.3">
      <c r="J404">
        <v>30</v>
      </c>
      <c r="K404">
        <v>54000</v>
      </c>
    </row>
    <row r="405" spans="10:11" x14ac:dyDescent="0.3">
      <c r="J405">
        <v>30</v>
      </c>
      <c r="K405">
        <v>54000</v>
      </c>
    </row>
    <row r="406" spans="10:11" x14ac:dyDescent="0.3">
      <c r="J406">
        <v>30</v>
      </c>
      <c r="K406">
        <v>55000</v>
      </c>
    </row>
    <row r="407" spans="10:11" x14ac:dyDescent="0.3">
      <c r="J407">
        <v>30</v>
      </c>
      <c r="K407">
        <v>55000</v>
      </c>
    </row>
    <row r="408" spans="10:11" x14ac:dyDescent="0.3">
      <c r="J408">
        <v>30</v>
      </c>
      <c r="K408">
        <v>55000</v>
      </c>
    </row>
    <row r="409" spans="10:11" x14ac:dyDescent="0.3">
      <c r="J409">
        <v>30</v>
      </c>
      <c r="K409">
        <v>55000</v>
      </c>
    </row>
    <row r="410" spans="10:11" x14ac:dyDescent="0.3">
      <c r="J410">
        <v>30</v>
      </c>
      <c r="K410">
        <v>55000</v>
      </c>
    </row>
    <row r="411" spans="10:11" x14ac:dyDescent="0.3">
      <c r="J411">
        <v>30</v>
      </c>
      <c r="K411">
        <v>55000</v>
      </c>
    </row>
    <row r="412" spans="10:11" x14ac:dyDescent="0.3">
      <c r="J412">
        <v>30</v>
      </c>
      <c r="K412">
        <v>56000</v>
      </c>
    </row>
    <row r="413" spans="10:11" x14ac:dyDescent="0.3">
      <c r="J413">
        <v>30</v>
      </c>
      <c r="K413">
        <v>56000</v>
      </c>
    </row>
    <row r="414" spans="10:11" x14ac:dyDescent="0.3">
      <c r="J414">
        <v>30</v>
      </c>
      <c r="K414">
        <v>57600</v>
      </c>
    </row>
    <row r="415" spans="10:11" x14ac:dyDescent="0.3">
      <c r="J415">
        <v>30</v>
      </c>
      <c r="K415">
        <v>57760</v>
      </c>
    </row>
    <row r="416" spans="10:11" x14ac:dyDescent="0.3">
      <c r="J416">
        <v>30</v>
      </c>
      <c r="K416">
        <v>58000</v>
      </c>
    </row>
    <row r="417" spans="10:11" x14ac:dyDescent="0.3">
      <c r="J417">
        <v>30</v>
      </c>
      <c r="K417">
        <v>58000</v>
      </c>
    </row>
    <row r="418" spans="10:11" x14ac:dyDescent="0.3">
      <c r="J418">
        <v>30</v>
      </c>
      <c r="K418">
        <v>58000</v>
      </c>
    </row>
    <row r="419" spans="10:11" x14ac:dyDescent="0.3">
      <c r="J419">
        <v>30</v>
      </c>
      <c r="K419">
        <v>59000</v>
      </c>
    </row>
    <row r="420" spans="10:11" x14ac:dyDescent="0.3">
      <c r="J420">
        <v>30</v>
      </c>
      <c r="K420">
        <v>60000</v>
      </c>
    </row>
    <row r="421" spans="10:11" x14ac:dyDescent="0.3">
      <c r="J421">
        <v>30</v>
      </c>
      <c r="K421">
        <v>60000</v>
      </c>
    </row>
    <row r="422" spans="10:11" x14ac:dyDescent="0.3">
      <c r="J422">
        <v>30</v>
      </c>
      <c r="K422">
        <v>60000</v>
      </c>
    </row>
    <row r="423" spans="10:11" x14ac:dyDescent="0.3">
      <c r="J423">
        <v>30</v>
      </c>
      <c r="K423">
        <v>60000</v>
      </c>
    </row>
    <row r="424" spans="10:11" x14ac:dyDescent="0.3">
      <c r="J424">
        <v>30</v>
      </c>
      <c r="K424">
        <v>60000</v>
      </c>
    </row>
    <row r="425" spans="10:11" x14ac:dyDescent="0.3">
      <c r="J425">
        <v>30</v>
      </c>
      <c r="K425">
        <v>60000</v>
      </c>
    </row>
    <row r="426" spans="10:11" x14ac:dyDescent="0.3">
      <c r="J426">
        <v>30</v>
      </c>
      <c r="K426">
        <v>60000</v>
      </c>
    </row>
    <row r="427" spans="10:11" x14ac:dyDescent="0.3">
      <c r="J427">
        <v>30</v>
      </c>
      <c r="K427">
        <v>60000</v>
      </c>
    </row>
    <row r="428" spans="10:11" x14ac:dyDescent="0.3">
      <c r="J428">
        <v>30</v>
      </c>
      <c r="K428">
        <v>63000</v>
      </c>
    </row>
    <row r="429" spans="10:11" x14ac:dyDescent="0.3">
      <c r="J429">
        <v>30</v>
      </c>
      <c r="K429">
        <v>65000</v>
      </c>
    </row>
    <row r="430" spans="10:11" x14ac:dyDescent="0.3">
      <c r="J430">
        <v>30</v>
      </c>
      <c r="K430">
        <v>65000</v>
      </c>
    </row>
    <row r="431" spans="10:11" x14ac:dyDescent="0.3">
      <c r="J431">
        <v>30</v>
      </c>
      <c r="K431">
        <v>65000</v>
      </c>
    </row>
    <row r="432" spans="10:11" x14ac:dyDescent="0.3">
      <c r="J432">
        <v>30</v>
      </c>
      <c r="K432">
        <v>65000</v>
      </c>
    </row>
    <row r="433" spans="10:11" x14ac:dyDescent="0.3">
      <c r="J433">
        <v>30</v>
      </c>
      <c r="K433">
        <v>65000</v>
      </c>
    </row>
    <row r="434" spans="10:11" x14ac:dyDescent="0.3">
      <c r="J434">
        <v>30</v>
      </c>
      <c r="K434">
        <v>66000</v>
      </c>
    </row>
    <row r="435" spans="10:11" x14ac:dyDescent="0.3">
      <c r="J435">
        <v>30</v>
      </c>
      <c r="K435">
        <v>66000</v>
      </c>
    </row>
    <row r="436" spans="10:11" x14ac:dyDescent="0.3">
      <c r="J436">
        <v>30</v>
      </c>
      <c r="K436">
        <v>68000</v>
      </c>
    </row>
    <row r="437" spans="10:11" x14ac:dyDescent="0.3">
      <c r="J437">
        <v>30</v>
      </c>
      <c r="K437">
        <v>68000</v>
      </c>
    </row>
    <row r="438" spans="10:11" x14ac:dyDescent="0.3">
      <c r="J438">
        <v>30</v>
      </c>
      <c r="K438">
        <v>68000</v>
      </c>
    </row>
    <row r="439" spans="10:11" x14ac:dyDescent="0.3">
      <c r="J439">
        <v>30</v>
      </c>
      <c r="K439">
        <v>68500</v>
      </c>
    </row>
    <row r="440" spans="10:11" x14ac:dyDescent="0.3">
      <c r="J440">
        <v>30</v>
      </c>
      <c r="K440">
        <v>69000</v>
      </c>
    </row>
    <row r="441" spans="10:11" x14ac:dyDescent="0.3">
      <c r="J441">
        <v>30</v>
      </c>
      <c r="K441">
        <v>70000</v>
      </c>
    </row>
    <row r="442" spans="10:11" x14ac:dyDescent="0.3">
      <c r="J442">
        <v>30</v>
      </c>
      <c r="K442">
        <v>70000</v>
      </c>
    </row>
    <row r="443" spans="10:11" x14ac:dyDescent="0.3">
      <c r="J443">
        <v>30</v>
      </c>
      <c r="K443">
        <v>70000</v>
      </c>
    </row>
    <row r="444" spans="10:11" x14ac:dyDescent="0.3">
      <c r="J444">
        <v>30</v>
      </c>
      <c r="K444">
        <v>70000</v>
      </c>
    </row>
    <row r="445" spans="10:11" x14ac:dyDescent="0.3">
      <c r="J445">
        <v>30</v>
      </c>
      <c r="K445">
        <v>70000</v>
      </c>
    </row>
    <row r="446" spans="10:11" x14ac:dyDescent="0.3">
      <c r="J446">
        <v>30</v>
      </c>
      <c r="K446">
        <v>70000</v>
      </c>
    </row>
    <row r="447" spans="10:11" x14ac:dyDescent="0.3">
      <c r="J447">
        <v>30</v>
      </c>
      <c r="K447">
        <v>70000</v>
      </c>
    </row>
    <row r="448" spans="10:11" x14ac:dyDescent="0.3">
      <c r="J448">
        <v>30</v>
      </c>
      <c r="K448">
        <v>70200</v>
      </c>
    </row>
    <row r="449" spans="10:11" x14ac:dyDescent="0.3">
      <c r="J449">
        <v>30</v>
      </c>
      <c r="K449">
        <v>71000</v>
      </c>
    </row>
    <row r="450" spans="10:11" x14ac:dyDescent="0.3">
      <c r="J450">
        <v>30</v>
      </c>
      <c r="K450">
        <v>71000</v>
      </c>
    </row>
    <row r="451" spans="10:11" x14ac:dyDescent="0.3">
      <c r="J451">
        <v>30</v>
      </c>
      <c r="K451">
        <v>72000</v>
      </c>
    </row>
    <row r="452" spans="10:11" x14ac:dyDescent="0.3">
      <c r="J452">
        <v>30</v>
      </c>
      <c r="K452">
        <v>72000</v>
      </c>
    </row>
    <row r="453" spans="10:11" x14ac:dyDescent="0.3">
      <c r="J453">
        <v>30</v>
      </c>
      <c r="K453">
        <v>72000</v>
      </c>
    </row>
    <row r="454" spans="10:11" x14ac:dyDescent="0.3">
      <c r="J454">
        <v>30</v>
      </c>
      <c r="K454">
        <v>73000</v>
      </c>
    </row>
    <row r="455" spans="10:11" x14ac:dyDescent="0.3">
      <c r="J455">
        <v>30</v>
      </c>
      <c r="K455">
        <v>73000</v>
      </c>
    </row>
    <row r="456" spans="10:11" x14ac:dyDescent="0.3">
      <c r="J456">
        <v>30</v>
      </c>
      <c r="K456">
        <v>74000</v>
      </c>
    </row>
    <row r="457" spans="10:11" x14ac:dyDescent="0.3">
      <c r="J457">
        <v>30</v>
      </c>
      <c r="K457">
        <v>74000</v>
      </c>
    </row>
    <row r="458" spans="10:11" x14ac:dyDescent="0.3">
      <c r="J458">
        <v>30</v>
      </c>
      <c r="K458">
        <v>74000</v>
      </c>
    </row>
    <row r="459" spans="10:11" x14ac:dyDescent="0.3">
      <c r="J459">
        <v>30</v>
      </c>
      <c r="K459">
        <v>75000</v>
      </c>
    </row>
    <row r="460" spans="10:11" x14ac:dyDescent="0.3">
      <c r="J460">
        <v>30</v>
      </c>
      <c r="K460">
        <v>75000</v>
      </c>
    </row>
    <row r="461" spans="10:11" x14ac:dyDescent="0.3">
      <c r="J461">
        <v>30</v>
      </c>
      <c r="K461">
        <v>75000</v>
      </c>
    </row>
    <row r="462" spans="10:11" x14ac:dyDescent="0.3">
      <c r="J462">
        <v>30</v>
      </c>
      <c r="K462">
        <v>75000</v>
      </c>
    </row>
    <row r="463" spans="10:11" x14ac:dyDescent="0.3">
      <c r="J463">
        <v>30</v>
      </c>
      <c r="K463">
        <v>75000</v>
      </c>
    </row>
    <row r="464" spans="10:11" x14ac:dyDescent="0.3">
      <c r="J464">
        <v>30</v>
      </c>
      <c r="K464">
        <v>75000</v>
      </c>
    </row>
    <row r="465" spans="10:11" x14ac:dyDescent="0.3">
      <c r="J465">
        <v>30</v>
      </c>
      <c r="K465">
        <v>75000</v>
      </c>
    </row>
    <row r="466" spans="10:11" x14ac:dyDescent="0.3">
      <c r="J466">
        <v>30</v>
      </c>
      <c r="K466">
        <v>76000</v>
      </c>
    </row>
    <row r="467" spans="10:11" x14ac:dyDescent="0.3">
      <c r="J467">
        <v>30</v>
      </c>
      <c r="K467">
        <v>77000</v>
      </c>
    </row>
    <row r="468" spans="10:11" x14ac:dyDescent="0.3">
      <c r="J468">
        <v>30</v>
      </c>
      <c r="K468">
        <v>78000</v>
      </c>
    </row>
    <row r="469" spans="10:11" x14ac:dyDescent="0.3">
      <c r="J469">
        <v>30</v>
      </c>
      <c r="K469">
        <v>79000</v>
      </c>
    </row>
    <row r="470" spans="10:11" x14ac:dyDescent="0.3">
      <c r="J470">
        <v>30</v>
      </c>
      <c r="K470">
        <v>79000</v>
      </c>
    </row>
    <row r="471" spans="10:11" x14ac:dyDescent="0.3">
      <c r="J471">
        <v>30</v>
      </c>
      <c r="K471">
        <v>80000</v>
      </c>
    </row>
    <row r="472" spans="10:11" x14ac:dyDescent="0.3">
      <c r="J472">
        <v>30</v>
      </c>
      <c r="K472">
        <v>80000</v>
      </c>
    </row>
    <row r="473" spans="10:11" x14ac:dyDescent="0.3">
      <c r="J473">
        <v>30</v>
      </c>
      <c r="K473">
        <v>80000</v>
      </c>
    </row>
    <row r="474" spans="10:11" x14ac:dyDescent="0.3">
      <c r="J474">
        <v>30</v>
      </c>
      <c r="K474">
        <v>80000</v>
      </c>
    </row>
    <row r="475" spans="10:11" x14ac:dyDescent="0.3">
      <c r="J475">
        <v>30</v>
      </c>
      <c r="K475">
        <v>80000</v>
      </c>
    </row>
    <row r="476" spans="10:11" x14ac:dyDescent="0.3">
      <c r="J476">
        <v>30</v>
      </c>
      <c r="K476">
        <v>82000</v>
      </c>
    </row>
    <row r="477" spans="10:11" x14ac:dyDescent="0.3">
      <c r="J477">
        <v>30</v>
      </c>
      <c r="K477">
        <v>85000</v>
      </c>
    </row>
    <row r="478" spans="10:11" x14ac:dyDescent="0.3">
      <c r="J478">
        <v>30</v>
      </c>
      <c r="K478">
        <v>85000</v>
      </c>
    </row>
    <row r="479" spans="10:11" x14ac:dyDescent="0.3">
      <c r="J479">
        <v>30</v>
      </c>
      <c r="K479">
        <v>85000</v>
      </c>
    </row>
    <row r="480" spans="10:11" x14ac:dyDescent="0.3">
      <c r="J480">
        <v>30</v>
      </c>
      <c r="K480">
        <v>85000</v>
      </c>
    </row>
    <row r="481" spans="10:11" x14ac:dyDescent="0.3">
      <c r="J481">
        <v>30</v>
      </c>
      <c r="K481">
        <v>86000</v>
      </c>
    </row>
    <row r="482" spans="10:11" x14ac:dyDescent="0.3">
      <c r="J482">
        <v>30</v>
      </c>
      <c r="K482">
        <v>90000</v>
      </c>
    </row>
    <row r="483" spans="10:11" x14ac:dyDescent="0.3">
      <c r="J483">
        <v>30</v>
      </c>
      <c r="K483">
        <v>90000</v>
      </c>
    </row>
    <row r="484" spans="10:11" x14ac:dyDescent="0.3">
      <c r="J484">
        <v>30</v>
      </c>
      <c r="K484">
        <v>90000</v>
      </c>
    </row>
    <row r="485" spans="10:11" x14ac:dyDescent="0.3">
      <c r="J485">
        <v>30</v>
      </c>
      <c r="K485">
        <v>90000</v>
      </c>
    </row>
    <row r="486" spans="10:11" x14ac:dyDescent="0.3">
      <c r="J486">
        <v>30</v>
      </c>
      <c r="K486">
        <v>90000</v>
      </c>
    </row>
    <row r="487" spans="10:11" x14ac:dyDescent="0.3">
      <c r="J487">
        <v>30</v>
      </c>
      <c r="K487">
        <v>100000</v>
      </c>
    </row>
    <row r="488" spans="10:11" x14ac:dyDescent="0.3">
      <c r="J488">
        <v>30</v>
      </c>
      <c r="K488">
        <v>100000</v>
      </c>
    </row>
    <row r="489" spans="10:11" x14ac:dyDescent="0.3">
      <c r="J489">
        <v>30</v>
      </c>
      <c r="K489">
        <v>115000</v>
      </c>
    </row>
    <row r="490" spans="10:11" x14ac:dyDescent="0.3">
      <c r="J490">
        <v>30</v>
      </c>
      <c r="K490">
        <v>150000</v>
      </c>
    </row>
    <row r="491" spans="10:11" x14ac:dyDescent="0.3">
      <c r="J491">
        <v>30</v>
      </c>
      <c r="K491">
        <v>150000</v>
      </c>
    </row>
    <row r="492" spans="10:11" x14ac:dyDescent="0.3">
      <c r="J492">
        <v>30</v>
      </c>
      <c r="K492">
        <v>151872</v>
      </c>
    </row>
    <row r="493" spans="10:11" x14ac:dyDescent="0.3">
      <c r="J493">
        <v>31</v>
      </c>
      <c r="K493">
        <v>20000</v>
      </c>
    </row>
    <row r="494" spans="10:11" x14ac:dyDescent="0.3">
      <c r="J494">
        <v>31</v>
      </c>
      <c r="K494">
        <v>32000</v>
      </c>
    </row>
    <row r="495" spans="10:11" x14ac:dyDescent="0.3">
      <c r="J495">
        <v>31</v>
      </c>
      <c r="K495">
        <v>45000</v>
      </c>
    </row>
    <row r="496" spans="10:11" x14ac:dyDescent="0.3">
      <c r="J496">
        <v>31</v>
      </c>
      <c r="K496">
        <v>45000</v>
      </c>
    </row>
    <row r="497" spans="10:11" x14ac:dyDescent="0.3">
      <c r="J497">
        <v>31</v>
      </c>
      <c r="K497">
        <v>50000</v>
      </c>
    </row>
    <row r="498" spans="10:11" x14ac:dyDescent="0.3">
      <c r="J498">
        <v>31</v>
      </c>
      <c r="K498">
        <v>50000</v>
      </c>
    </row>
    <row r="499" spans="10:11" x14ac:dyDescent="0.3">
      <c r="J499">
        <v>31</v>
      </c>
      <c r="K499">
        <v>50000</v>
      </c>
    </row>
    <row r="500" spans="10:11" x14ac:dyDescent="0.3">
      <c r="J500">
        <v>31</v>
      </c>
      <c r="K500">
        <v>50000</v>
      </c>
    </row>
    <row r="501" spans="10:11" x14ac:dyDescent="0.3">
      <c r="J501">
        <v>31</v>
      </c>
      <c r="K501">
        <v>50400</v>
      </c>
    </row>
    <row r="502" spans="10:11" x14ac:dyDescent="0.3">
      <c r="J502">
        <v>31</v>
      </c>
      <c r="K502">
        <v>50500</v>
      </c>
    </row>
    <row r="503" spans="10:11" x14ac:dyDescent="0.3">
      <c r="J503">
        <v>31</v>
      </c>
      <c r="K503">
        <v>53000</v>
      </c>
    </row>
    <row r="504" spans="10:11" x14ac:dyDescent="0.3">
      <c r="J504">
        <v>31</v>
      </c>
      <c r="K504">
        <v>57000</v>
      </c>
    </row>
    <row r="505" spans="10:11" x14ac:dyDescent="0.3">
      <c r="J505">
        <v>31</v>
      </c>
      <c r="K505">
        <v>57000</v>
      </c>
    </row>
    <row r="506" spans="10:11" x14ac:dyDescent="0.3">
      <c r="J506">
        <v>31</v>
      </c>
      <c r="K506">
        <v>57000</v>
      </c>
    </row>
    <row r="507" spans="10:11" x14ac:dyDescent="0.3">
      <c r="J507">
        <v>31</v>
      </c>
      <c r="K507">
        <v>58000</v>
      </c>
    </row>
    <row r="508" spans="10:11" x14ac:dyDescent="0.3">
      <c r="J508">
        <v>31</v>
      </c>
      <c r="K508">
        <v>59064</v>
      </c>
    </row>
    <row r="509" spans="10:11" x14ac:dyDescent="0.3">
      <c r="J509">
        <v>31</v>
      </c>
      <c r="K509">
        <v>60000</v>
      </c>
    </row>
    <row r="510" spans="10:11" x14ac:dyDescent="0.3">
      <c r="J510">
        <v>31</v>
      </c>
      <c r="K510">
        <v>60000</v>
      </c>
    </row>
    <row r="511" spans="10:11" x14ac:dyDescent="0.3">
      <c r="J511">
        <v>31</v>
      </c>
      <c r="K511">
        <v>60000</v>
      </c>
    </row>
    <row r="512" spans="10:11" x14ac:dyDescent="0.3">
      <c r="J512">
        <v>31</v>
      </c>
      <c r="K512">
        <v>60000</v>
      </c>
    </row>
    <row r="513" spans="10:11" x14ac:dyDescent="0.3">
      <c r="J513">
        <v>31</v>
      </c>
      <c r="K513">
        <v>60000</v>
      </c>
    </row>
    <row r="514" spans="10:11" x14ac:dyDescent="0.3">
      <c r="J514">
        <v>31</v>
      </c>
      <c r="K514">
        <v>60000</v>
      </c>
    </row>
    <row r="515" spans="10:11" x14ac:dyDescent="0.3">
      <c r="J515">
        <v>31</v>
      </c>
      <c r="K515">
        <v>60000</v>
      </c>
    </row>
    <row r="516" spans="10:11" x14ac:dyDescent="0.3">
      <c r="J516">
        <v>31</v>
      </c>
      <c r="K516">
        <v>60000</v>
      </c>
    </row>
    <row r="517" spans="10:11" x14ac:dyDescent="0.3">
      <c r="J517">
        <v>31</v>
      </c>
      <c r="K517">
        <v>60000</v>
      </c>
    </row>
    <row r="518" spans="10:11" x14ac:dyDescent="0.3">
      <c r="J518">
        <v>31</v>
      </c>
      <c r="K518">
        <v>60000</v>
      </c>
    </row>
    <row r="519" spans="10:11" x14ac:dyDescent="0.3">
      <c r="J519">
        <v>31</v>
      </c>
      <c r="K519">
        <v>60000</v>
      </c>
    </row>
    <row r="520" spans="10:11" x14ac:dyDescent="0.3">
      <c r="J520">
        <v>31</v>
      </c>
      <c r="K520">
        <v>60000</v>
      </c>
    </row>
    <row r="521" spans="10:11" x14ac:dyDescent="0.3">
      <c r="J521">
        <v>31</v>
      </c>
      <c r="K521">
        <v>60000</v>
      </c>
    </row>
    <row r="522" spans="10:11" x14ac:dyDescent="0.3">
      <c r="J522">
        <v>31</v>
      </c>
      <c r="K522">
        <v>62000</v>
      </c>
    </row>
    <row r="523" spans="10:11" x14ac:dyDescent="0.3">
      <c r="J523">
        <v>31</v>
      </c>
      <c r="K523">
        <v>62000</v>
      </c>
    </row>
    <row r="524" spans="10:11" x14ac:dyDescent="0.3">
      <c r="J524">
        <v>31</v>
      </c>
      <c r="K524">
        <v>63000</v>
      </c>
    </row>
    <row r="525" spans="10:11" x14ac:dyDescent="0.3">
      <c r="J525">
        <v>31</v>
      </c>
      <c r="K525">
        <v>65000</v>
      </c>
    </row>
    <row r="526" spans="10:11" x14ac:dyDescent="0.3">
      <c r="J526">
        <v>31</v>
      </c>
      <c r="K526">
        <v>65000</v>
      </c>
    </row>
    <row r="527" spans="10:11" x14ac:dyDescent="0.3">
      <c r="J527">
        <v>31</v>
      </c>
      <c r="K527">
        <v>65000</v>
      </c>
    </row>
    <row r="528" spans="10:11" x14ac:dyDescent="0.3">
      <c r="J528">
        <v>31</v>
      </c>
      <c r="K528">
        <v>67000</v>
      </c>
    </row>
    <row r="529" spans="10:11" x14ac:dyDescent="0.3">
      <c r="J529">
        <v>31</v>
      </c>
      <c r="K529">
        <v>67473</v>
      </c>
    </row>
    <row r="530" spans="10:11" x14ac:dyDescent="0.3">
      <c r="J530">
        <v>31</v>
      </c>
      <c r="K530">
        <v>68000</v>
      </c>
    </row>
    <row r="531" spans="10:11" x14ac:dyDescent="0.3">
      <c r="J531">
        <v>31</v>
      </c>
      <c r="K531">
        <v>68000</v>
      </c>
    </row>
    <row r="532" spans="10:11" x14ac:dyDescent="0.3">
      <c r="J532">
        <v>31</v>
      </c>
      <c r="K532">
        <v>68000</v>
      </c>
    </row>
    <row r="533" spans="10:11" x14ac:dyDescent="0.3">
      <c r="J533">
        <v>31</v>
      </c>
      <c r="K533">
        <v>69000</v>
      </c>
    </row>
    <row r="534" spans="10:11" x14ac:dyDescent="0.3">
      <c r="J534">
        <v>31</v>
      </c>
      <c r="K534">
        <v>70000</v>
      </c>
    </row>
    <row r="535" spans="10:11" x14ac:dyDescent="0.3">
      <c r="J535">
        <v>31</v>
      </c>
      <c r="K535">
        <v>70000</v>
      </c>
    </row>
    <row r="536" spans="10:11" x14ac:dyDescent="0.3">
      <c r="J536">
        <v>31</v>
      </c>
      <c r="K536">
        <v>70000</v>
      </c>
    </row>
    <row r="537" spans="10:11" x14ac:dyDescent="0.3">
      <c r="J537">
        <v>31</v>
      </c>
      <c r="K537">
        <v>70000</v>
      </c>
    </row>
    <row r="538" spans="10:11" x14ac:dyDescent="0.3">
      <c r="J538">
        <v>31</v>
      </c>
      <c r="K538">
        <v>71060</v>
      </c>
    </row>
    <row r="539" spans="10:11" x14ac:dyDescent="0.3">
      <c r="J539">
        <v>31</v>
      </c>
      <c r="K539">
        <v>74000</v>
      </c>
    </row>
    <row r="540" spans="10:11" x14ac:dyDescent="0.3">
      <c r="J540">
        <v>31</v>
      </c>
      <c r="K540">
        <v>75000</v>
      </c>
    </row>
    <row r="541" spans="10:11" x14ac:dyDescent="0.3">
      <c r="J541">
        <v>31</v>
      </c>
      <c r="K541">
        <v>75000</v>
      </c>
    </row>
    <row r="542" spans="10:11" x14ac:dyDescent="0.3">
      <c r="J542">
        <v>31</v>
      </c>
      <c r="K542">
        <v>75000</v>
      </c>
    </row>
    <row r="543" spans="10:11" x14ac:dyDescent="0.3">
      <c r="J543">
        <v>31</v>
      </c>
      <c r="K543">
        <v>75000</v>
      </c>
    </row>
    <row r="544" spans="10:11" x14ac:dyDescent="0.3">
      <c r="J544">
        <v>31</v>
      </c>
      <c r="K544">
        <v>75000</v>
      </c>
    </row>
    <row r="545" spans="10:11" x14ac:dyDescent="0.3">
      <c r="J545">
        <v>31</v>
      </c>
      <c r="K545">
        <v>76000</v>
      </c>
    </row>
    <row r="546" spans="10:11" x14ac:dyDescent="0.3">
      <c r="J546">
        <v>31</v>
      </c>
      <c r="K546">
        <v>76000</v>
      </c>
    </row>
    <row r="547" spans="10:11" x14ac:dyDescent="0.3">
      <c r="J547">
        <v>31</v>
      </c>
      <c r="K547">
        <v>77000</v>
      </c>
    </row>
    <row r="548" spans="10:11" x14ac:dyDescent="0.3">
      <c r="J548">
        <v>31</v>
      </c>
      <c r="K548">
        <v>77000</v>
      </c>
    </row>
    <row r="549" spans="10:11" x14ac:dyDescent="0.3">
      <c r="J549">
        <v>31</v>
      </c>
      <c r="K549">
        <v>77500</v>
      </c>
    </row>
    <row r="550" spans="10:11" x14ac:dyDescent="0.3">
      <c r="J550">
        <v>31</v>
      </c>
      <c r="K550">
        <v>78000</v>
      </c>
    </row>
    <row r="551" spans="10:11" x14ac:dyDescent="0.3">
      <c r="J551">
        <v>31</v>
      </c>
      <c r="K551">
        <v>79000</v>
      </c>
    </row>
    <row r="552" spans="10:11" x14ac:dyDescent="0.3">
      <c r="J552">
        <v>31</v>
      </c>
      <c r="K552">
        <v>80000</v>
      </c>
    </row>
    <row r="553" spans="10:11" x14ac:dyDescent="0.3">
      <c r="J553">
        <v>31</v>
      </c>
      <c r="K553">
        <v>80000</v>
      </c>
    </row>
    <row r="554" spans="10:11" x14ac:dyDescent="0.3">
      <c r="J554">
        <v>31</v>
      </c>
      <c r="K554">
        <v>80000</v>
      </c>
    </row>
    <row r="555" spans="10:11" x14ac:dyDescent="0.3">
      <c r="J555">
        <v>31</v>
      </c>
      <c r="K555">
        <v>80000</v>
      </c>
    </row>
    <row r="556" spans="10:11" x14ac:dyDescent="0.3">
      <c r="J556">
        <v>31</v>
      </c>
      <c r="K556">
        <v>80000</v>
      </c>
    </row>
    <row r="557" spans="10:11" x14ac:dyDescent="0.3">
      <c r="J557">
        <v>31</v>
      </c>
      <c r="K557">
        <v>80000</v>
      </c>
    </row>
    <row r="558" spans="10:11" x14ac:dyDescent="0.3">
      <c r="J558">
        <v>31</v>
      </c>
      <c r="K558">
        <v>80000</v>
      </c>
    </row>
    <row r="559" spans="10:11" x14ac:dyDescent="0.3">
      <c r="J559">
        <v>31</v>
      </c>
      <c r="K559">
        <v>80000</v>
      </c>
    </row>
    <row r="560" spans="10:11" x14ac:dyDescent="0.3">
      <c r="J560">
        <v>31</v>
      </c>
      <c r="K560">
        <v>80000</v>
      </c>
    </row>
    <row r="561" spans="10:11" x14ac:dyDescent="0.3">
      <c r="J561">
        <v>31</v>
      </c>
      <c r="K561">
        <v>81000</v>
      </c>
    </row>
    <row r="562" spans="10:11" x14ac:dyDescent="0.3">
      <c r="J562">
        <v>31</v>
      </c>
      <c r="K562">
        <v>81000</v>
      </c>
    </row>
    <row r="563" spans="10:11" x14ac:dyDescent="0.3">
      <c r="J563">
        <v>31</v>
      </c>
      <c r="K563">
        <v>82000</v>
      </c>
    </row>
    <row r="564" spans="10:11" x14ac:dyDescent="0.3">
      <c r="J564">
        <v>31</v>
      </c>
      <c r="K564">
        <v>83000</v>
      </c>
    </row>
    <row r="565" spans="10:11" x14ac:dyDescent="0.3">
      <c r="J565">
        <v>31</v>
      </c>
      <c r="K565">
        <v>85000</v>
      </c>
    </row>
    <row r="566" spans="10:11" x14ac:dyDescent="0.3">
      <c r="J566">
        <v>31</v>
      </c>
      <c r="K566">
        <v>85000</v>
      </c>
    </row>
    <row r="567" spans="10:11" x14ac:dyDescent="0.3">
      <c r="J567">
        <v>31</v>
      </c>
      <c r="K567">
        <v>85000</v>
      </c>
    </row>
    <row r="568" spans="10:11" x14ac:dyDescent="0.3">
      <c r="J568">
        <v>31</v>
      </c>
      <c r="K568">
        <v>90000</v>
      </c>
    </row>
    <row r="569" spans="10:11" x14ac:dyDescent="0.3">
      <c r="J569">
        <v>31</v>
      </c>
      <c r="K569">
        <v>90000</v>
      </c>
    </row>
    <row r="570" spans="10:11" x14ac:dyDescent="0.3">
      <c r="J570">
        <v>31</v>
      </c>
      <c r="K570">
        <v>90000</v>
      </c>
    </row>
    <row r="571" spans="10:11" x14ac:dyDescent="0.3">
      <c r="J571">
        <v>31</v>
      </c>
      <c r="K571">
        <v>92500</v>
      </c>
    </row>
    <row r="572" spans="10:11" x14ac:dyDescent="0.3">
      <c r="J572">
        <v>31</v>
      </c>
      <c r="K572">
        <v>95000</v>
      </c>
    </row>
    <row r="573" spans="10:11" x14ac:dyDescent="0.3">
      <c r="J573">
        <v>31</v>
      </c>
      <c r="K573">
        <v>99000</v>
      </c>
    </row>
    <row r="574" spans="10:11" x14ac:dyDescent="0.3">
      <c r="J574">
        <v>31</v>
      </c>
      <c r="K574">
        <v>100000</v>
      </c>
    </row>
    <row r="575" spans="10:11" x14ac:dyDescent="0.3">
      <c r="J575">
        <v>31</v>
      </c>
      <c r="K575">
        <v>100000</v>
      </c>
    </row>
    <row r="576" spans="10:11" x14ac:dyDescent="0.3">
      <c r="J576">
        <v>31</v>
      </c>
      <c r="K576">
        <v>110000</v>
      </c>
    </row>
    <row r="577" spans="10:11" x14ac:dyDescent="0.3">
      <c r="J577">
        <v>31</v>
      </c>
      <c r="K577">
        <v>110000</v>
      </c>
    </row>
    <row r="578" spans="10:11" x14ac:dyDescent="0.3">
      <c r="J578">
        <v>31</v>
      </c>
      <c r="K578">
        <v>115000</v>
      </c>
    </row>
    <row r="579" spans="10:11" x14ac:dyDescent="0.3">
      <c r="J579">
        <v>31</v>
      </c>
      <c r="K579">
        <v>115000</v>
      </c>
    </row>
    <row r="580" spans="10:11" x14ac:dyDescent="0.3">
      <c r="J580">
        <v>32</v>
      </c>
      <c r="K580">
        <v>36000</v>
      </c>
    </row>
    <row r="581" spans="10:11" x14ac:dyDescent="0.3">
      <c r="J581">
        <v>32</v>
      </c>
      <c r="K581">
        <v>37500</v>
      </c>
    </row>
    <row r="582" spans="10:11" x14ac:dyDescent="0.3">
      <c r="J582">
        <v>32</v>
      </c>
      <c r="K582">
        <v>48000</v>
      </c>
    </row>
    <row r="583" spans="10:11" x14ac:dyDescent="0.3">
      <c r="J583">
        <v>32</v>
      </c>
      <c r="K583">
        <v>48000</v>
      </c>
    </row>
    <row r="584" spans="10:11" x14ac:dyDescent="0.3">
      <c r="J584">
        <v>32</v>
      </c>
      <c r="K584">
        <v>49000</v>
      </c>
    </row>
    <row r="585" spans="10:11" x14ac:dyDescent="0.3">
      <c r="J585">
        <v>32</v>
      </c>
      <c r="K585">
        <v>50400</v>
      </c>
    </row>
    <row r="586" spans="10:11" x14ac:dyDescent="0.3">
      <c r="J586">
        <v>32</v>
      </c>
      <c r="K586">
        <v>52000</v>
      </c>
    </row>
    <row r="587" spans="10:11" x14ac:dyDescent="0.3">
      <c r="J587">
        <v>32</v>
      </c>
      <c r="K587">
        <v>52500</v>
      </c>
    </row>
    <row r="588" spans="10:11" x14ac:dyDescent="0.3">
      <c r="J588">
        <v>32</v>
      </c>
      <c r="K588">
        <v>54000</v>
      </c>
    </row>
    <row r="589" spans="10:11" x14ac:dyDescent="0.3">
      <c r="J589">
        <v>32</v>
      </c>
      <c r="K589">
        <v>55000</v>
      </c>
    </row>
    <row r="590" spans="10:11" x14ac:dyDescent="0.3">
      <c r="J590">
        <v>32</v>
      </c>
      <c r="K590">
        <v>55000</v>
      </c>
    </row>
    <row r="591" spans="10:11" x14ac:dyDescent="0.3">
      <c r="J591">
        <v>32</v>
      </c>
      <c r="K591">
        <v>55000</v>
      </c>
    </row>
    <row r="592" spans="10:11" x14ac:dyDescent="0.3">
      <c r="J592">
        <v>32</v>
      </c>
      <c r="K592">
        <v>58000</v>
      </c>
    </row>
    <row r="593" spans="10:11" x14ac:dyDescent="0.3">
      <c r="J593">
        <v>32</v>
      </c>
      <c r="K593">
        <v>60000</v>
      </c>
    </row>
    <row r="594" spans="10:11" x14ac:dyDescent="0.3">
      <c r="J594">
        <v>32</v>
      </c>
      <c r="K594">
        <v>60000</v>
      </c>
    </row>
    <row r="595" spans="10:11" x14ac:dyDescent="0.3">
      <c r="J595">
        <v>32</v>
      </c>
      <c r="K595">
        <v>60000</v>
      </c>
    </row>
    <row r="596" spans="10:11" x14ac:dyDescent="0.3">
      <c r="J596">
        <v>32</v>
      </c>
      <c r="K596">
        <v>60000</v>
      </c>
    </row>
    <row r="597" spans="10:11" x14ac:dyDescent="0.3">
      <c r="J597">
        <v>32</v>
      </c>
      <c r="K597">
        <v>60000</v>
      </c>
    </row>
    <row r="598" spans="10:11" x14ac:dyDescent="0.3">
      <c r="J598">
        <v>32</v>
      </c>
      <c r="K598">
        <v>60000</v>
      </c>
    </row>
    <row r="599" spans="10:11" x14ac:dyDescent="0.3">
      <c r="J599">
        <v>32</v>
      </c>
      <c r="K599">
        <v>60000</v>
      </c>
    </row>
    <row r="600" spans="10:11" x14ac:dyDescent="0.3">
      <c r="J600">
        <v>32</v>
      </c>
      <c r="K600">
        <v>60000</v>
      </c>
    </row>
    <row r="601" spans="10:11" x14ac:dyDescent="0.3">
      <c r="J601">
        <v>32</v>
      </c>
      <c r="K601">
        <v>60000</v>
      </c>
    </row>
    <row r="602" spans="10:11" x14ac:dyDescent="0.3">
      <c r="J602">
        <v>32</v>
      </c>
      <c r="K602">
        <v>61000</v>
      </c>
    </row>
    <row r="603" spans="10:11" x14ac:dyDescent="0.3">
      <c r="J603">
        <v>32</v>
      </c>
      <c r="K603">
        <v>62000</v>
      </c>
    </row>
    <row r="604" spans="10:11" x14ac:dyDescent="0.3">
      <c r="J604">
        <v>32</v>
      </c>
      <c r="K604">
        <v>62000</v>
      </c>
    </row>
    <row r="605" spans="10:11" x14ac:dyDescent="0.3">
      <c r="J605">
        <v>32</v>
      </c>
      <c r="K605">
        <v>62000</v>
      </c>
    </row>
    <row r="606" spans="10:11" x14ac:dyDescent="0.3">
      <c r="J606">
        <v>32</v>
      </c>
      <c r="K606">
        <v>62000</v>
      </c>
    </row>
    <row r="607" spans="10:11" x14ac:dyDescent="0.3">
      <c r="J607">
        <v>32</v>
      </c>
      <c r="K607">
        <v>63000</v>
      </c>
    </row>
    <row r="608" spans="10:11" x14ac:dyDescent="0.3">
      <c r="J608">
        <v>32</v>
      </c>
      <c r="K608">
        <v>63000</v>
      </c>
    </row>
    <row r="609" spans="10:11" x14ac:dyDescent="0.3">
      <c r="J609">
        <v>32</v>
      </c>
      <c r="K609">
        <v>65000</v>
      </c>
    </row>
    <row r="610" spans="10:11" x14ac:dyDescent="0.3">
      <c r="J610">
        <v>32</v>
      </c>
      <c r="K610">
        <v>65000</v>
      </c>
    </row>
    <row r="611" spans="10:11" x14ac:dyDescent="0.3">
      <c r="J611">
        <v>32</v>
      </c>
      <c r="K611">
        <v>65000</v>
      </c>
    </row>
    <row r="612" spans="10:11" x14ac:dyDescent="0.3">
      <c r="J612">
        <v>32</v>
      </c>
      <c r="K612">
        <v>65000</v>
      </c>
    </row>
    <row r="613" spans="10:11" x14ac:dyDescent="0.3">
      <c r="J613">
        <v>32</v>
      </c>
      <c r="K613">
        <v>65000</v>
      </c>
    </row>
    <row r="614" spans="10:11" x14ac:dyDescent="0.3">
      <c r="J614">
        <v>32</v>
      </c>
      <c r="K614">
        <v>65000</v>
      </c>
    </row>
    <row r="615" spans="10:11" x14ac:dyDescent="0.3">
      <c r="J615">
        <v>32</v>
      </c>
      <c r="K615">
        <v>65000</v>
      </c>
    </row>
    <row r="616" spans="10:11" x14ac:dyDescent="0.3">
      <c r="J616">
        <v>32</v>
      </c>
      <c r="K616">
        <v>65000</v>
      </c>
    </row>
    <row r="617" spans="10:11" x14ac:dyDescent="0.3">
      <c r="J617">
        <v>32</v>
      </c>
      <c r="K617">
        <v>65000</v>
      </c>
    </row>
    <row r="618" spans="10:11" x14ac:dyDescent="0.3">
      <c r="J618">
        <v>32</v>
      </c>
      <c r="K618">
        <v>66300</v>
      </c>
    </row>
    <row r="619" spans="10:11" x14ac:dyDescent="0.3">
      <c r="J619">
        <v>32</v>
      </c>
      <c r="K619">
        <v>66800</v>
      </c>
    </row>
    <row r="620" spans="10:11" x14ac:dyDescent="0.3">
      <c r="J620">
        <v>32</v>
      </c>
      <c r="K620">
        <v>68000</v>
      </c>
    </row>
    <row r="621" spans="10:11" x14ac:dyDescent="0.3">
      <c r="J621">
        <v>32</v>
      </c>
      <c r="K621">
        <v>68000</v>
      </c>
    </row>
    <row r="622" spans="10:11" x14ac:dyDescent="0.3">
      <c r="J622">
        <v>32</v>
      </c>
      <c r="K622">
        <v>68500</v>
      </c>
    </row>
    <row r="623" spans="10:11" x14ac:dyDescent="0.3">
      <c r="J623">
        <v>32</v>
      </c>
      <c r="K623">
        <v>70000</v>
      </c>
    </row>
    <row r="624" spans="10:11" x14ac:dyDescent="0.3">
      <c r="J624">
        <v>32</v>
      </c>
      <c r="K624">
        <v>70000</v>
      </c>
    </row>
    <row r="625" spans="10:11" x14ac:dyDescent="0.3">
      <c r="J625">
        <v>32</v>
      </c>
      <c r="K625">
        <v>70000</v>
      </c>
    </row>
    <row r="626" spans="10:11" x14ac:dyDescent="0.3">
      <c r="J626">
        <v>32</v>
      </c>
      <c r="K626">
        <v>70000</v>
      </c>
    </row>
    <row r="627" spans="10:11" x14ac:dyDescent="0.3">
      <c r="J627">
        <v>32</v>
      </c>
      <c r="K627">
        <v>70800</v>
      </c>
    </row>
    <row r="628" spans="10:11" x14ac:dyDescent="0.3">
      <c r="J628">
        <v>32</v>
      </c>
      <c r="K628">
        <v>72000</v>
      </c>
    </row>
    <row r="629" spans="10:11" x14ac:dyDescent="0.3">
      <c r="J629">
        <v>32</v>
      </c>
      <c r="K629">
        <v>72000</v>
      </c>
    </row>
    <row r="630" spans="10:11" x14ac:dyDescent="0.3">
      <c r="J630">
        <v>32</v>
      </c>
      <c r="K630">
        <v>72000</v>
      </c>
    </row>
    <row r="631" spans="10:11" x14ac:dyDescent="0.3">
      <c r="J631">
        <v>32</v>
      </c>
      <c r="K631">
        <v>72500</v>
      </c>
    </row>
    <row r="632" spans="10:11" x14ac:dyDescent="0.3">
      <c r="J632">
        <v>32</v>
      </c>
      <c r="K632">
        <v>73000</v>
      </c>
    </row>
    <row r="633" spans="10:11" x14ac:dyDescent="0.3">
      <c r="J633">
        <v>32</v>
      </c>
      <c r="K633">
        <v>74000</v>
      </c>
    </row>
    <row r="634" spans="10:11" x14ac:dyDescent="0.3">
      <c r="J634">
        <v>32</v>
      </c>
      <c r="K634">
        <v>75000</v>
      </c>
    </row>
    <row r="635" spans="10:11" x14ac:dyDescent="0.3">
      <c r="J635">
        <v>32</v>
      </c>
      <c r="K635">
        <v>75000</v>
      </c>
    </row>
    <row r="636" spans="10:11" x14ac:dyDescent="0.3">
      <c r="J636">
        <v>32</v>
      </c>
      <c r="K636">
        <v>75000</v>
      </c>
    </row>
    <row r="637" spans="10:11" x14ac:dyDescent="0.3">
      <c r="J637">
        <v>32</v>
      </c>
      <c r="K637">
        <v>75000</v>
      </c>
    </row>
    <row r="638" spans="10:11" x14ac:dyDescent="0.3">
      <c r="J638">
        <v>32</v>
      </c>
      <c r="K638">
        <v>76000</v>
      </c>
    </row>
    <row r="639" spans="10:11" x14ac:dyDescent="0.3">
      <c r="J639">
        <v>32</v>
      </c>
      <c r="K639">
        <v>76000</v>
      </c>
    </row>
    <row r="640" spans="10:11" x14ac:dyDescent="0.3">
      <c r="J640">
        <v>32</v>
      </c>
      <c r="K640">
        <v>77000</v>
      </c>
    </row>
    <row r="641" spans="10:11" x14ac:dyDescent="0.3">
      <c r="J641">
        <v>32</v>
      </c>
      <c r="K641">
        <v>80000</v>
      </c>
    </row>
    <row r="642" spans="10:11" x14ac:dyDescent="0.3">
      <c r="J642">
        <v>32</v>
      </c>
      <c r="K642">
        <v>80000</v>
      </c>
    </row>
    <row r="643" spans="10:11" x14ac:dyDescent="0.3">
      <c r="J643">
        <v>32</v>
      </c>
      <c r="K643">
        <v>80000</v>
      </c>
    </row>
    <row r="644" spans="10:11" x14ac:dyDescent="0.3">
      <c r="J644">
        <v>32</v>
      </c>
      <c r="K644">
        <v>80000</v>
      </c>
    </row>
    <row r="645" spans="10:11" x14ac:dyDescent="0.3">
      <c r="J645">
        <v>32</v>
      </c>
      <c r="K645">
        <v>80000</v>
      </c>
    </row>
    <row r="646" spans="10:11" x14ac:dyDescent="0.3">
      <c r="J646">
        <v>32</v>
      </c>
      <c r="K646">
        <v>80000</v>
      </c>
    </row>
    <row r="647" spans="10:11" x14ac:dyDescent="0.3">
      <c r="J647">
        <v>32</v>
      </c>
      <c r="K647">
        <v>80000</v>
      </c>
    </row>
    <row r="648" spans="10:11" x14ac:dyDescent="0.3">
      <c r="J648">
        <v>32</v>
      </c>
      <c r="K648">
        <v>81000</v>
      </c>
    </row>
    <row r="649" spans="10:11" x14ac:dyDescent="0.3">
      <c r="J649">
        <v>32</v>
      </c>
      <c r="K649">
        <v>81200</v>
      </c>
    </row>
    <row r="650" spans="10:11" x14ac:dyDescent="0.3">
      <c r="J650">
        <v>32</v>
      </c>
      <c r="K650">
        <v>82000</v>
      </c>
    </row>
    <row r="651" spans="10:11" x14ac:dyDescent="0.3">
      <c r="J651">
        <v>32</v>
      </c>
      <c r="K651">
        <v>83000</v>
      </c>
    </row>
    <row r="652" spans="10:11" x14ac:dyDescent="0.3">
      <c r="J652">
        <v>32</v>
      </c>
      <c r="K652">
        <v>83000</v>
      </c>
    </row>
    <row r="653" spans="10:11" x14ac:dyDescent="0.3">
      <c r="J653">
        <v>32</v>
      </c>
      <c r="K653">
        <v>85000</v>
      </c>
    </row>
    <row r="654" spans="10:11" x14ac:dyDescent="0.3">
      <c r="J654">
        <v>32</v>
      </c>
      <c r="K654">
        <v>85000</v>
      </c>
    </row>
    <row r="655" spans="10:11" x14ac:dyDescent="0.3">
      <c r="J655">
        <v>32</v>
      </c>
      <c r="K655">
        <v>85000</v>
      </c>
    </row>
    <row r="656" spans="10:11" x14ac:dyDescent="0.3">
      <c r="J656">
        <v>32</v>
      </c>
      <c r="K656">
        <v>85000</v>
      </c>
    </row>
    <row r="657" spans="10:11" x14ac:dyDescent="0.3">
      <c r="J657">
        <v>32</v>
      </c>
      <c r="K657">
        <v>88000</v>
      </c>
    </row>
    <row r="658" spans="10:11" x14ac:dyDescent="0.3">
      <c r="J658">
        <v>32</v>
      </c>
      <c r="K658">
        <v>90000</v>
      </c>
    </row>
    <row r="659" spans="10:11" x14ac:dyDescent="0.3">
      <c r="J659">
        <v>32</v>
      </c>
      <c r="K659">
        <v>90000</v>
      </c>
    </row>
    <row r="660" spans="10:11" x14ac:dyDescent="0.3">
      <c r="J660">
        <v>32</v>
      </c>
      <c r="K660">
        <v>90000</v>
      </c>
    </row>
    <row r="661" spans="10:11" x14ac:dyDescent="0.3">
      <c r="J661">
        <v>32</v>
      </c>
      <c r="K661">
        <v>90000</v>
      </c>
    </row>
    <row r="662" spans="10:11" x14ac:dyDescent="0.3">
      <c r="J662">
        <v>32</v>
      </c>
      <c r="K662">
        <v>92000</v>
      </c>
    </row>
    <row r="663" spans="10:11" x14ac:dyDescent="0.3">
      <c r="J663">
        <v>32</v>
      </c>
      <c r="K663">
        <v>95000</v>
      </c>
    </row>
    <row r="664" spans="10:11" x14ac:dyDescent="0.3">
      <c r="J664">
        <v>32</v>
      </c>
      <c r="K664">
        <v>95000</v>
      </c>
    </row>
    <row r="665" spans="10:11" x14ac:dyDescent="0.3">
      <c r="J665">
        <v>32</v>
      </c>
      <c r="K665">
        <v>95000</v>
      </c>
    </row>
    <row r="666" spans="10:11" x14ac:dyDescent="0.3">
      <c r="J666">
        <v>32</v>
      </c>
      <c r="K666">
        <v>95000</v>
      </c>
    </row>
    <row r="667" spans="10:11" x14ac:dyDescent="0.3">
      <c r="J667">
        <v>32</v>
      </c>
      <c r="K667">
        <v>100000</v>
      </c>
    </row>
    <row r="668" spans="10:11" x14ac:dyDescent="0.3">
      <c r="J668">
        <v>32</v>
      </c>
      <c r="K668">
        <v>100000</v>
      </c>
    </row>
    <row r="669" spans="10:11" x14ac:dyDescent="0.3">
      <c r="J669">
        <v>32</v>
      </c>
      <c r="K669">
        <v>105000</v>
      </c>
    </row>
    <row r="670" spans="10:11" x14ac:dyDescent="0.3">
      <c r="J670">
        <v>32</v>
      </c>
      <c r="K670">
        <v>110000</v>
      </c>
    </row>
    <row r="671" spans="10:11" x14ac:dyDescent="0.3">
      <c r="J671">
        <v>32</v>
      </c>
      <c r="K671">
        <v>120000</v>
      </c>
    </row>
    <row r="672" spans="10:11" x14ac:dyDescent="0.3">
      <c r="J672">
        <v>32</v>
      </c>
      <c r="K672">
        <v>130000</v>
      </c>
    </row>
    <row r="673" spans="10:11" x14ac:dyDescent="0.3">
      <c r="J673">
        <v>32</v>
      </c>
      <c r="K673">
        <v>200000</v>
      </c>
    </row>
    <row r="674" spans="10:11" x14ac:dyDescent="0.3">
      <c r="J674">
        <v>33</v>
      </c>
      <c r="K674">
        <v>26400</v>
      </c>
    </row>
    <row r="675" spans="10:11" x14ac:dyDescent="0.3">
      <c r="J675">
        <v>33</v>
      </c>
      <c r="K675">
        <v>42000</v>
      </c>
    </row>
    <row r="676" spans="10:11" x14ac:dyDescent="0.3">
      <c r="J676">
        <v>33</v>
      </c>
      <c r="K676">
        <v>42000</v>
      </c>
    </row>
    <row r="677" spans="10:11" x14ac:dyDescent="0.3">
      <c r="J677">
        <v>33</v>
      </c>
      <c r="K677">
        <v>47500</v>
      </c>
    </row>
    <row r="678" spans="10:11" x14ac:dyDescent="0.3">
      <c r="J678">
        <v>33</v>
      </c>
      <c r="K678">
        <v>47745</v>
      </c>
    </row>
    <row r="679" spans="10:11" x14ac:dyDescent="0.3">
      <c r="J679">
        <v>33</v>
      </c>
      <c r="K679">
        <v>49000</v>
      </c>
    </row>
    <row r="680" spans="10:11" x14ac:dyDescent="0.3">
      <c r="J680">
        <v>33</v>
      </c>
      <c r="K680">
        <v>50000</v>
      </c>
    </row>
    <row r="681" spans="10:11" x14ac:dyDescent="0.3">
      <c r="J681">
        <v>33</v>
      </c>
      <c r="K681">
        <v>50000</v>
      </c>
    </row>
    <row r="682" spans="10:11" x14ac:dyDescent="0.3">
      <c r="J682">
        <v>33</v>
      </c>
      <c r="K682">
        <v>54000</v>
      </c>
    </row>
    <row r="683" spans="10:11" x14ac:dyDescent="0.3">
      <c r="J683">
        <v>33</v>
      </c>
      <c r="K683">
        <v>54000</v>
      </c>
    </row>
    <row r="684" spans="10:11" x14ac:dyDescent="0.3">
      <c r="J684">
        <v>33</v>
      </c>
      <c r="K684">
        <v>55000</v>
      </c>
    </row>
    <row r="685" spans="10:11" x14ac:dyDescent="0.3">
      <c r="J685">
        <v>33</v>
      </c>
      <c r="K685">
        <v>56000</v>
      </c>
    </row>
    <row r="686" spans="10:11" x14ac:dyDescent="0.3">
      <c r="J686">
        <v>33</v>
      </c>
      <c r="K686">
        <v>57000</v>
      </c>
    </row>
    <row r="687" spans="10:11" x14ac:dyDescent="0.3">
      <c r="J687">
        <v>33</v>
      </c>
      <c r="K687">
        <v>58000</v>
      </c>
    </row>
    <row r="688" spans="10:11" x14ac:dyDescent="0.3">
      <c r="J688">
        <v>33</v>
      </c>
      <c r="K688">
        <v>58000</v>
      </c>
    </row>
    <row r="689" spans="10:11" x14ac:dyDescent="0.3">
      <c r="J689">
        <v>33</v>
      </c>
      <c r="K689">
        <v>60000</v>
      </c>
    </row>
    <row r="690" spans="10:11" x14ac:dyDescent="0.3">
      <c r="J690">
        <v>33</v>
      </c>
      <c r="K690">
        <v>60000</v>
      </c>
    </row>
    <row r="691" spans="10:11" x14ac:dyDescent="0.3">
      <c r="J691">
        <v>33</v>
      </c>
      <c r="K691">
        <v>60000</v>
      </c>
    </row>
    <row r="692" spans="10:11" x14ac:dyDescent="0.3">
      <c r="J692">
        <v>33</v>
      </c>
      <c r="K692">
        <v>60000</v>
      </c>
    </row>
    <row r="693" spans="10:11" x14ac:dyDescent="0.3">
      <c r="J693">
        <v>33</v>
      </c>
      <c r="K693">
        <v>60000</v>
      </c>
    </row>
    <row r="694" spans="10:11" x14ac:dyDescent="0.3">
      <c r="J694">
        <v>33</v>
      </c>
      <c r="K694">
        <v>61000</v>
      </c>
    </row>
    <row r="695" spans="10:11" x14ac:dyDescent="0.3">
      <c r="J695">
        <v>33</v>
      </c>
      <c r="K695">
        <v>62000</v>
      </c>
    </row>
    <row r="696" spans="10:11" x14ac:dyDescent="0.3">
      <c r="J696">
        <v>33</v>
      </c>
      <c r="K696">
        <v>62000</v>
      </c>
    </row>
    <row r="697" spans="10:11" x14ac:dyDescent="0.3">
      <c r="J697">
        <v>33</v>
      </c>
      <c r="K697">
        <v>62000</v>
      </c>
    </row>
    <row r="698" spans="10:11" x14ac:dyDescent="0.3">
      <c r="J698">
        <v>33</v>
      </c>
      <c r="K698">
        <v>63000</v>
      </c>
    </row>
    <row r="699" spans="10:11" x14ac:dyDescent="0.3">
      <c r="J699">
        <v>33</v>
      </c>
      <c r="K699">
        <v>65000</v>
      </c>
    </row>
    <row r="700" spans="10:11" x14ac:dyDescent="0.3">
      <c r="J700">
        <v>33</v>
      </c>
      <c r="K700">
        <v>65000</v>
      </c>
    </row>
    <row r="701" spans="10:11" x14ac:dyDescent="0.3">
      <c r="J701">
        <v>33</v>
      </c>
      <c r="K701">
        <v>65000</v>
      </c>
    </row>
    <row r="702" spans="10:11" x14ac:dyDescent="0.3">
      <c r="J702">
        <v>33</v>
      </c>
      <c r="K702">
        <v>65000</v>
      </c>
    </row>
    <row r="703" spans="10:11" x14ac:dyDescent="0.3">
      <c r="J703">
        <v>33</v>
      </c>
      <c r="K703">
        <v>65000</v>
      </c>
    </row>
    <row r="704" spans="10:11" x14ac:dyDescent="0.3">
      <c r="J704">
        <v>33</v>
      </c>
      <c r="K704">
        <v>65000</v>
      </c>
    </row>
    <row r="705" spans="10:11" x14ac:dyDescent="0.3">
      <c r="J705">
        <v>33</v>
      </c>
      <c r="K705">
        <v>65900</v>
      </c>
    </row>
    <row r="706" spans="10:11" x14ac:dyDescent="0.3">
      <c r="J706">
        <v>33</v>
      </c>
      <c r="K706">
        <v>66000</v>
      </c>
    </row>
    <row r="707" spans="10:11" x14ac:dyDescent="0.3">
      <c r="J707">
        <v>33</v>
      </c>
      <c r="K707">
        <v>67000</v>
      </c>
    </row>
    <row r="708" spans="10:11" x14ac:dyDescent="0.3">
      <c r="J708">
        <v>33</v>
      </c>
      <c r="K708">
        <v>67000</v>
      </c>
    </row>
    <row r="709" spans="10:11" x14ac:dyDescent="0.3">
      <c r="J709">
        <v>33</v>
      </c>
      <c r="K709">
        <v>67000</v>
      </c>
    </row>
    <row r="710" spans="10:11" x14ac:dyDescent="0.3">
      <c r="J710">
        <v>33</v>
      </c>
      <c r="K710">
        <v>68000</v>
      </c>
    </row>
    <row r="711" spans="10:11" x14ac:dyDescent="0.3">
      <c r="J711">
        <v>33</v>
      </c>
      <c r="K711">
        <v>68000</v>
      </c>
    </row>
    <row r="712" spans="10:11" x14ac:dyDescent="0.3">
      <c r="J712">
        <v>33</v>
      </c>
      <c r="K712">
        <v>70000</v>
      </c>
    </row>
    <row r="713" spans="10:11" x14ac:dyDescent="0.3">
      <c r="J713">
        <v>33</v>
      </c>
      <c r="K713">
        <v>70000</v>
      </c>
    </row>
    <row r="714" spans="10:11" x14ac:dyDescent="0.3">
      <c r="J714">
        <v>33</v>
      </c>
      <c r="K714">
        <v>70000</v>
      </c>
    </row>
    <row r="715" spans="10:11" x14ac:dyDescent="0.3">
      <c r="J715">
        <v>33</v>
      </c>
      <c r="K715">
        <v>70000</v>
      </c>
    </row>
    <row r="716" spans="10:11" x14ac:dyDescent="0.3">
      <c r="J716">
        <v>33</v>
      </c>
      <c r="K716">
        <v>70000</v>
      </c>
    </row>
    <row r="717" spans="10:11" x14ac:dyDescent="0.3">
      <c r="J717">
        <v>33</v>
      </c>
      <c r="K717">
        <v>70000</v>
      </c>
    </row>
    <row r="718" spans="10:11" x14ac:dyDescent="0.3">
      <c r="J718">
        <v>33</v>
      </c>
      <c r="K718">
        <v>70000</v>
      </c>
    </row>
    <row r="719" spans="10:11" x14ac:dyDescent="0.3">
      <c r="J719">
        <v>33</v>
      </c>
      <c r="K719">
        <v>70000</v>
      </c>
    </row>
    <row r="720" spans="10:11" x14ac:dyDescent="0.3">
      <c r="J720">
        <v>33</v>
      </c>
      <c r="K720">
        <v>70000</v>
      </c>
    </row>
    <row r="721" spans="10:11" x14ac:dyDescent="0.3">
      <c r="J721">
        <v>33</v>
      </c>
      <c r="K721">
        <v>70000</v>
      </c>
    </row>
    <row r="722" spans="10:11" x14ac:dyDescent="0.3">
      <c r="J722">
        <v>33</v>
      </c>
      <c r="K722">
        <v>70200</v>
      </c>
    </row>
    <row r="723" spans="10:11" x14ac:dyDescent="0.3">
      <c r="J723">
        <v>33</v>
      </c>
      <c r="K723">
        <v>74000</v>
      </c>
    </row>
    <row r="724" spans="10:11" x14ac:dyDescent="0.3">
      <c r="J724">
        <v>33</v>
      </c>
      <c r="K724">
        <v>75000</v>
      </c>
    </row>
    <row r="725" spans="10:11" x14ac:dyDescent="0.3">
      <c r="J725">
        <v>33</v>
      </c>
      <c r="K725">
        <v>75000</v>
      </c>
    </row>
    <row r="726" spans="10:11" x14ac:dyDescent="0.3">
      <c r="J726">
        <v>33</v>
      </c>
      <c r="K726">
        <v>75000</v>
      </c>
    </row>
    <row r="727" spans="10:11" x14ac:dyDescent="0.3">
      <c r="J727">
        <v>33</v>
      </c>
      <c r="K727">
        <v>75000</v>
      </c>
    </row>
    <row r="728" spans="10:11" x14ac:dyDescent="0.3">
      <c r="J728">
        <v>33</v>
      </c>
      <c r="K728">
        <v>75000</v>
      </c>
    </row>
    <row r="729" spans="10:11" x14ac:dyDescent="0.3">
      <c r="J729">
        <v>33</v>
      </c>
      <c r="K729">
        <v>75000</v>
      </c>
    </row>
    <row r="730" spans="10:11" x14ac:dyDescent="0.3">
      <c r="J730">
        <v>33</v>
      </c>
      <c r="K730">
        <v>75000</v>
      </c>
    </row>
    <row r="731" spans="10:11" x14ac:dyDescent="0.3">
      <c r="J731">
        <v>33</v>
      </c>
      <c r="K731">
        <v>77000</v>
      </c>
    </row>
    <row r="732" spans="10:11" x14ac:dyDescent="0.3">
      <c r="J732">
        <v>33</v>
      </c>
      <c r="K732">
        <v>78000</v>
      </c>
    </row>
    <row r="733" spans="10:11" x14ac:dyDescent="0.3">
      <c r="J733">
        <v>33</v>
      </c>
      <c r="K733">
        <v>78600</v>
      </c>
    </row>
    <row r="734" spans="10:11" x14ac:dyDescent="0.3">
      <c r="J734">
        <v>33</v>
      </c>
      <c r="K734">
        <v>79000</v>
      </c>
    </row>
    <row r="735" spans="10:11" x14ac:dyDescent="0.3">
      <c r="J735">
        <v>33</v>
      </c>
      <c r="K735">
        <v>80000</v>
      </c>
    </row>
    <row r="736" spans="10:11" x14ac:dyDescent="0.3">
      <c r="J736">
        <v>33</v>
      </c>
      <c r="K736">
        <v>80000</v>
      </c>
    </row>
    <row r="737" spans="10:11" x14ac:dyDescent="0.3">
      <c r="J737">
        <v>33</v>
      </c>
      <c r="K737">
        <v>80000</v>
      </c>
    </row>
    <row r="738" spans="10:11" x14ac:dyDescent="0.3">
      <c r="J738">
        <v>33</v>
      </c>
      <c r="K738">
        <v>80000</v>
      </c>
    </row>
    <row r="739" spans="10:11" x14ac:dyDescent="0.3">
      <c r="J739">
        <v>33</v>
      </c>
      <c r="K739">
        <v>81900</v>
      </c>
    </row>
    <row r="740" spans="10:11" x14ac:dyDescent="0.3">
      <c r="J740">
        <v>33</v>
      </c>
      <c r="K740">
        <v>83000</v>
      </c>
    </row>
    <row r="741" spans="10:11" x14ac:dyDescent="0.3">
      <c r="J741">
        <v>33</v>
      </c>
      <c r="K741">
        <v>83000</v>
      </c>
    </row>
    <row r="742" spans="10:11" x14ac:dyDescent="0.3">
      <c r="J742">
        <v>33</v>
      </c>
      <c r="K742">
        <v>85000</v>
      </c>
    </row>
    <row r="743" spans="10:11" x14ac:dyDescent="0.3">
      <c r="J743">
        <v>33</v>
      </c>
      <c r="K743">
        <v>85000</v>
      </c>
    </row>
    <row r="744" spans="10:11" x14ac:dyDescent="0.3">
      <c r="J744">
        <v>33</v>
      </c>
      <c r="K744">
        <v>85000</v>
      </c>
    </row>
    <row r="745" spans="10:11" x14ac:dyDescent="0.3">
      <c r="J745">
        <v>33</v>
      </c>
      <c r="K745">
        <v>85000</v>
      </c>
    </row>
    <row r="746" spans="10:11" x14ac:dyDescent="0.3">
      <c r="J746">
        <v>33</v>
      </c>
      <c r="K746">
        <v>88000</v>
      </c>
    </row>
    <row r="747" spans="10:11" x14ac:dyDescent="0.3">
      <c r="J747">
        <v>33</v>
      </c>
      <c r="K747">
        <v>90000</v>
      </c>
    </row>
    <row r="748" spans="10:11" x14ac:dyDescent="0.3">
      <c r="J748">
        <v>33</v>
      </c>
      <c r="K748">
        <v>90000</v>
      </c>
    </row>
    <row r="749" spans="10:11" x14ac:dyDescent="0.3">
      <c r="J749">
        <v>33</v>
      </c>
      <c r="K749">
        <v>90000</v>
      </c>
    </row>
    <row r="750" spans="10:11" x14ac:dyDescent="0.3">
      <c r="J750">
        <v>33</v>
      </c>
      <c r="K750">
        <v>90000</v>
      </c>
    </row>
    <row r="751" spans="10:11" x14ac:dyDescent="0.3">
      <c r="J751">
        <v>33</v>
      </c>
      <c r="K751">
        <v>90000</v>
      </c>
    </row>
    <row r="752" spans="10:11" x14ac:dyDescent="0.3">
      <c r="J752">
        <v>33</v>
      </c>
      <c r="K752">
        <v>90000</v>
      </c>
    </row>
    <row r="753" spans="10:11" x14ac:dyDescent="0.3">
      <c r="J753">
        <v>33</v>
      </c>
      <c r="K753">
        <v>93000</v>
      </c>
    </row>
    <row r="754" spans="10:11" x14ac:dyDescent="0.3">
      <c r="J754">
        <v>33</v>
      </c>
      <c r="K754">
        <v>95000</v>
      </c>
    </row>
    <row r="755" spans="10:11" x14ac:dyDescent="0.3">
      <c r="J755">
        <v>33</v>
      </c>
      <c r="K755">
        <v>100000</v>
      </c>
    </row>
    <row r="756" spans="10:11" x14ac:dyDescent="0.3">
      <c r="J756">
        <v>33</v>
      </c>
      <c r="K756">
        <v>100000</v>
      </c>
    </row>
    <row r="757" spans="10:11" x14ac:dyDescent="0.3">
      <c r="J757">
        <v>33</v>
      </c>
      <c r="K757">
        <v>100000</v>
      </c>
    </row>
    <row r="758" spans="10:11" x14ac:dyDescent="0.3">
      <c r="J758">
        <v>33</v>
      </c>
      <c r="K758">
        <v>100000</v>
      </c>
    </row>
    <row r="759" spans="10:11" x14ac:dyDescent="0.3">
      <c r="J759">
        <v>33</v>
      </c>
      <c r="K759">
        <v>100000</v>
      </c>
    </row>
    <row r="760" spans="10:11" x14ac:dyDescent="0.3">
      <c r="J760">
        <v>33</v>
      </c>
      <c r="K760">
        <v>107000</v>
      </c>
    </row>
    <row r="761" spans="10:11" x14ac:dyDescent="0.3">
      <c r="J761">
        <v>33</v>
      </c>
      <c r="K761">
        <v>110000</v>
      </c>
    </row>
    <row r="762" spans="10:11" x14ac:dyDescent="0.3">
      <c r="J762">
        <v>33</v>
      </c>
      <c r="K762">
        <v>110000</v>
      </c>
    </row>
    <row r="763" spans="10:11" x14ac:dyDescent="0.3">
      <c r="J763">
        <v>33</v>
      </c>
      <c r="K763">
        <v>120000</v>
      </c>
    </row>
    <row r="764" spans="10:11" x14ac:dyDescent="0.3">
      <c r="J764">
        <v>33</v>
      </c>
      <c r="K764">
        <v>120000</v>
      </c>
    </row>
    <row r="765" spans="10:11" x14ac:dyDescent="0.3">
      <c r="J765">
        <v>33</v>
      </c>
      <c r="K765">
        <v>130000</v>
      </c>
    </row>
    <row r="766" spans="10:11" x14ac:dyDescent="0.3">
      <c r="J766">
        <v>33</v>
      </c>
      <c r="K766">
        <v>150000</v>
      </c>
    </row>
    <row r="767" spans="10:11" x14ac:dyDescent="0.3">
      <c r="J767">
        <v>33</v>
      </c>
      <c r="K767">
        <v>154000</v>
      </c>
    </row>
    <row r="768" spans="10:11" x14ac:dyDescent="0.3">
      <c r="J768">
        <v>34</v>
      </c>
      <c r="K768">
        <v>45000</v>
      </c>
    </row>
    <row r="769" spans="10:11" x14ac:dyDescent="0.3">
      <c r="J769">
        <v>34</v>
      </c>
      <c r="K769">
        <v>54000</v>
      </c>
    </row>
    <row r="770" spans="10:11" x14ac:dyDescent="0.3">
      <c r="J770">
        <v>34</v>
      </c>
      <c r="K770">
        <v>54000</v>
      </c>
    </row>
    <row r="771" spans="10:11" x14ac:dyDescent="0.3">
      <c r="J771">
        <v>34</v>
      </c>
      <c r="K771">
        <v>55000</v>
      </c>
    </row>
    <row r="772" spans="10:11" x14ac:dyDescent="0.3">
      <c r="J772">
        <v>34</v>
      </c>
      <c r="K772">
        <v>55000</v>
      </c>
    </row>
    <row r="773" spans="10:11" x14ac:dyDescent="0.3">
      <c r="J773">
        <v>34</v>
      </c>
      <c r="K773">
        <v>56000</v>
      </c>
    </row>
    <row r="774" spans="10:11" x14ac:dyDescent="0.3">
      <c r="J774">
        <v>34</v>
      </c>
      <c r="K774">
        <v>60000</v>
      </c>
    </row>
    <row r="775" spans="10:11" x14ac:dyDescent="0.3">
      <c r="J775">
        <v>34</v>
      </c>
      <c r="K775">
        <v>60000</v>
      </c>
    </row>
    <row r="776" spans="10:11" x14ac:dyDescent="0.3">
      <c r="J776">
        <v>34</v>
      </c>
      <c r="K776">
        <v>60000</v>
      </c>
    </row>
    <row r="777" spans="10:11" x14ac:dyDescent="0.3">
      <c r="J777">
        <v>34</v>
      </c>
      <c r="K777">
        <v>60000</v>
      </c>
    </row>
    <row r="778" spans="10:11" x14ac:dyDescent="0.3">
      <c r="J778">
        <v>34</v>
      </c>
      <c r="K778">
        <v>60000</v>
      </c>
    </row>
    <row r="779" spans="10:11" x14ac:dyDescent="0.3">
      <c r="J779">
        <v>34</v>
      </c>
      <c r="K779">
        <v>62000</v>
      </c>
    </row>
    <row r="780" spans="10:11" x14ac:dyDescent="0.3">
      <c r="J780">
        <v>34</v>
      </c>
      <c r="K780">
        <v>63000</v>
      </c>
    </row>
    <row r="781" spans="10:11" x14ac:dyDescent="0.3">
      <c r="J781">
        <v>34</v>
      </c>
      <c r="K781">
        <v>65000</v>
      </c>
    </row>
    <row r="782" spans="10:11" x14ac:dyDescent="0.3">
      <c r="J782">
        <v>34</v>
      </c>
      <c r="K782">
        <v>65000</v>
      </c>
    </row>
    <row r="783" spans="10:11" x14ac:dyDescent="0.3">
      <c r="J783">
        <v>34</v>
      </c>
      <c r="K783">
        <v>65000</v>
      </c>
    </row>
    <row r="784" spans="10:11" x14ac:dyDescent="0.3">
      <c r="J784">
        <v>34</v>
      </c>
      <c r="K784">
        <v>65600</v>
      </c>
    </row>
    <row r="785" spans="10:11" x14ac:dyDescent="0.3">
      <c r="J785">
        <v>34</v>
      </c>
      <c r="K785">
        <v>66000</v>
      </c>
    </row>
    <row r="786" spans="10:11" x14ac:dyDescent="0.3">
      <c r="J786">
        <v>34</v>
      </c>
      <c r="K786">
        <v>67500</v>
      </c>
    </row>
    <row r="787" spans="10:11" x14ac:dyDescent="0.3">
      <c r="J787">
        <v>34</v>
      </c>
      <c r="K787">
        <v>67500</v>
      </c>
    </row>
    <row r="788" spans="10:11" x14ac:dyDescent="0.3">
      <c r="J788">
        <v>34</v>
      </c>
      <c r="K788">
        <v>68000</v>
      </c>
    </row>
    <row r="789" spans="10:11" x14ac:dyDescent="0.3">
      <c r="J789">
        <v>34</v>
      </c>
      <c r="K789">
        <v>70000</v>
      </c>
    </row>
    <row r="790" spans="10:11" x14ac:dyDescent="0.3">
      <c r="J790">
        <v>34</v>
      </c>
      <c r="K790">
        <v>70000</v>
      </c>
    </row>
    <row r="791" spans="10:11" x14ac:dyDescent="0.3">
      <c r="J791">
        <v>34</v>
      </c>
      <c r="K791">
        <v>70000</v>
      </c>
    </row>
    <row r="792" spans="10:11" x14ac:dyDescent="0.3">
      <c r="J792">
        <v>34</v>
      </c>
      <c r="K792">
        <v>70000</v>
      </c>
    </row>
    <row r="793" spans="10:11" x14ac:dyDescent="0.3">
      <c r="J793">
        <v>34</v>
      </c>
      <c r="K793">
        <v>70000</v>
      </c>
    </row>
    <row r="794" spans="10:11" x14ac:dyDescent="0.3">
      <c r="J794">
        <v>34</v>
      </c>
      <c r="K794">
        <v>70000</v>
      </c>
    </row>
    <row r="795" spans="10:11" x14ac:dyDescent="0.3">
      <c r="J795">
        <v>34</v>
      </c>
      <c r="K795">
        <v>70000</v>
      </c>
    </row>
    <row r="796" spans="10:11" x14ac:dyDescent="0.3">
      <c r="J796">
        <v>34</v>
      </c>
      <c r="K796">
        <v>72000</v>
      </c>
    </row>
    <row r="797" spans="10:11" x14ac:dyDescent="0.3">
      <c r="J797">
        <v>34</v>
      </c>
      <c r="K797">
        <v>72000</v>
      </c>
    </row>
    <row r="798" spans="10:11" x14ac:dyDescent="0.3">
      <c r="J798">
        <v>34</v>
      </c>
      <c r="K798">
        <v>72000</v>
      </c>
    </row>
    <row r="799" spans="10:11" x14ac:dyDescent="0.3">
      <c r="J799">
        <v>34</v>
      </c>
      <c r="K799">
        <v>72000</v>
      </c>
    </row>
    <row r="800" spans="10:11" x14ac:dyDescent="0.3">
      <c r="J800">
        <v>34</v>
      </c>
      <c r="K800">
        <v>72000</v>
      </c>
    </row>
    <row r="801" spans="10:11" x14ac:dyDescent="0.3">
      <c r="J801">
        <v>34</v>
      </c>
      <c r="K801">
        <v>73500</v>
      </c>
    </row>
    <row r="802" spans="10:11" x14ac:dyDescent="0.3">
      <c r="J802">
        <v>34</v>
      </c>
      <c r="K802">
        <v>74000</v>
      </c>
    </row>
    <row r="803" spans="10:11" x14ac:dyDescent="0.3">
      <c r="J803">
        <v>34</v>
      </c>
      <c r="K803">
        <v>74000</v>
      </c>
    </row>
    <row r="804" spans="10:11" x14ac:dyDescent="0.3">
      <c r="J804">
        <v>34</v>
      </c>
      <c r="K804">
        <v>75000</v>
      </c>
    </row>
    <row r="805" spans="10:11" x14ac:dyDescent="0.3">
      <c r="J805">
        <v>34</v>
      </c>
      <c r="K805">
        <v>75000</v>
      </c>
    </row>
    <row r="806" spans="10:11" x14ac:dyDescent="0.3">
      <c r="J806">
        <v>34</v>
      </c>
      <c r="K806">
        <v>75000</v>
      </c>
    </row>
    <row r="807" spans="10:11" x14ac:dyDescent="0.3">
      <c r="J807">
        <v>34</v>
      </c>
      <c r="K807">
        <v>76000</v>
      </c>
    </row>
    <row r="808" spans="10:11" x14ac:dyDescent="0.3">
      <c r="J808">
        <v>34</v>
      </c>
      <c r="K808">
        <v>76500</v>
      </c>
    </row>
    <row r="809" spans="10:11" x14ac:dyDescent="0.3">
      <c r="J809">
        <v>34</v>
      </c>
      <c r="K809">
        <v>77500</v>
      </c>
    </row>
    <row r="810" spans="10:11" x14ac:dyDescent="0.3">
      <c r="J810">
        <v>34</v>
      </c>
      <c r="K810">
        <v>78000</v>
      </c>
    </row>
    <row r="811" spans="10:11" x14ac:dyDescent="0.3">
      <c r="J811">
        <v>34</v>
      </c>
      <c r="K811">
        <v>78000</v>
      </c>
    </row>
    <row r="812" spans="10:11" x14ac:dyDescent="0.3">
      <c r="J812">
        <v>34</v>
      </c>
      <c r="K812">
        <v>80000</v>
      </c>
    </row>
    <row r="813" spans="10:11" x14ac:dyDescent="0.3">
      <c r="J813">
        <v>34</v>
      </c>
      <c r="K813">
        <v>80000</v>
      </c>
    </row>
    <row r="814" spans="10:11" x14ac:dyDescent="0.3">
      <c r="J814">
        <v>34</v>
      </c>
      <c r="K814">
        <v>80000</v>
      </c>
    </row>
    <row r="815" spans="10:11" x14ac:dyDescent="0.3">
      <c r="J815">
        <v>34</v>
      </c>
      <c r="K815">
        <v>80000</v>
      </c>
    </row>
    <row r="816" spans="10:11" x14ac:dyDescent="0.3">
      <c r="J816">
        <v>34</v>
      </c>
      <c r="K816">
        <v>80000</v>
      </c>
    </row>
    <row r="817" spans="10:11" x14ac:dyDescent="0.3">
      <c r="J817">
        <v>34</v>
      </c>
      <c r="K817">
        <v>84000</v>
      </c>
    </row>
    <row r="818" spans="10:11" x14ac:dyDescent="0.3">
      <c r="J818">
        <v>34</v>
      </c>
      <c r="K818">
        <v>85000</v>
      </c>
    </row>
    <row r="819" spans="10:11" x14ac:dyDescent="0.3">
      <c r="J819">
        <v>34</v>
      </c>
      <c r="K819">
        <v>85000</v>
      </c>
    </row>
    <row r="820" spans="10:11" x14ac:dyDescent="0.3">
      <c r="J820">
        <v>34</v>
      </c>
      <c r="K820">
        <v>85000</v>
      </c>
    </row>
    <row r="821" spans="10:11" x14ac:dyDescent="0.3">
      <c r="J821">
        <v>34</v>
      </c>
      <c r="K821">
        <v>85000</v>
      </c>
    </row>
    <row r="822" spans="10:11" x14ac:dyDescent="0.3">
      <c r="J822">
        <v>34</v>
      </c>
      <c r="K822">
        <v>85000</v>
      </c>
    </row>
    <row r="823" spans="10:11" x14ac:dyDescent="0.3">
      <c r="J823">
        <v>34</v>
      </c>
      <c r="K823">
        <v>90000</v>
      </c>
    </row>
    <row r="824" spans="10:11" x14ac:dyDescent="0.3">
      <c r="J824">
        <v>34</v>
      </c>
      <c r="K824">
        <v>90000</v>
      </c>
    </row>
    <row r="825" spans="10:11" x14ac:dyDescent="0.3">
      <c r="J825">
        <v>34</v>
      </c>
      <c r="K825">
        <v>90000</v>
      </c>
    </row>
    <row r="826" spans="10:11" x14ac:dyDescent="0.3">
      <c r="J826">
        <v>34</v>
      </c>
      <c r="K826">
        <v>91000</v>
      </c>
    </row>
    <row r="827" spans="10:11" x14ac:dyDescent="0.3">
      <c r="J827">
        <v>34</v>
      </c>
      <c r="K827">
        <v>94000</v>
      </c>
    </row>
    <row r="828" spans="10:11" x14ac:dyDescent="0.3">
      <c r="J828">
        <v>34</v>
      </c>
      <c r="K828">
        <v>95000</v>
      </c>
    </row>
    <row r="829" spans="10:11" x14ac:dyDescent="0.3">
      <c r="J829">
        <v>34</v>
      </c>
      <c r="K829">
        <v>95000</v>
      </c>
    </row>
    <row r="830" spans="10:11" x14ac:dyDescent="0.3">
      <c r="J830">
        <v>34</v>
      </c>
      <c r="K830">
        <v>95000</v>
      </c>
    </row>
    <row r="831" spans="10:11" x14ac:dyDescent="0.3">
      <c r="J831">
        <v>34</v>
      </c>
      <c r="K831">
        <v>95000</v>
      </c>
    </row>
    <row r="832" spans="10:11" x14ac:dyDescent="0.3">
      <c r="J832">
        <v>34</v>
      </c>
      <c r="K832">
        <v>95000</v>
      </c>
    </row>
    <row r="833" spans="10:11" x14ac:dyDescent="0.3">
      <c r="J833">
        <v>34</v>
      </c>
      <c r="K833">
        <v>96000</v>
      </c>
    </row>
    <row r="834" spans="10:11" x14ac:dyDescent="0.3">
      <c r="J834">
        <v>34</v>
      </c>
      <c r="K834">
        <v>100000</v>
      </c>
    </row>
    <row r="835" spans="10:11" x14ac:dyDescent="0.3">
      <c r="J835">
        <v>34</v>
      </c>
      <c r="K835">
        <v>100000</v>
      </c>
    </row>
    <row r="836" spans="10:11" x14ac:dyDescent="0.3">
      <c r="J836">
        <v>34</v>
      </c>
      <c r="K836">
        <v>103000</v>
      </c>
    </row>
    <row r="837" spans="10:11" x14ac:dyDescent="0.3">
      <c r="J837">
        <v>34</v>
      </c>
      <c r="K837">
        <v>105000</v>
      </c>
    </row>
    <row r="838" spans="10:11" x14ac:dyDescent="0.3">
      <c r="J838">
        <v>34</v>
      </c>
      <c r="K838">
        <v>108000</v>
      </c>
    </row>
    <row r="839" spans="10:11" x14ac:dyDescent="0.3">
      <c r="J839">
        <v>34</v>
      </c>
      <c r="K839">
        <v>108500</v>
      </c>
    </row>
    <row r="840" spans="10:11" x14ac:dyDescent="0.3">
      <c r="J840">
        <v>34</v>
      </c>
      <c r="K840">
        <v>120000</v>
      </c>
    </row>
    <row r="841" spans="10:11" x14ac:dyDescent="0.3">
      <c r="J841">
        <v>34</v>
      </c>
      <c r="K841">
        <v>120000</v>
      </c>
    </row>
    <row r="842" spans="10:11" x14ac:dyDescent="0.3">
      <c r="J842">
        <v>35</v>
      </c>
      <c r="K842">
        <v>30000</v>
      </c>
    </row>
    <row r="843" spans="10:11" x14ac:dyDescent="0.3">
      <c r="J843">
        <v>35</v>
      </c>
      <c r="K843">
        <v>30000</v>
      </c>
    </row>
    <row r="844" spans="10:11" x14ac:dyDescent="0.3">
      <c r="J844">
        <v>35</v>
      </c>
      <c r="K844">
        <v>40000</v>
      </c>
    </row>
    <row r="845" spans="10:11" x14ac:dyDescent="0.3">
      <c r="J845">
        <v>35</v>
      </c>
      <c r="K845">
        <v>42000</v>
      </c>
    </row>
    <row r="846" spans="10:11" x14ac:dyDescent="0.3">
      <c r="J846">
        <v>35</v>
      </c>
      <c r="K846">
        <v>44000</v>
      </c>
    </row>
    <row r="847" spans="10:11" x14ac:dyDescent="0.3">
      <c r="J847">
        <v>35</v>
      </c>
      <c r="K847">
        <v>46000</v>
      </c>
    </row>
    <row r="848" spans="10:11" x14ac:dyDescent="0.3">
      <c r="J848">
        <v>35</v>
      </c>
      <c r="K848">
        <v>49000</v>
      </c>
    </row>
    <row r="849" spans="10:11" x14ac:dyDescent="0.3">
      <c r="J849">
        <v>35</v>
      </c>
      <c r="K849">
        <v>50000</v>
      </c>
    </row>
    <row r="850" spans="10:11" x14ac:dyDescent="0.3">
      <c r="J850">
        <v>35</v>
      </c>
      <c r="K850">
        <v>50000</v>
      </c>
    </row>
    <row r="851" spans="10:11" x14ac:dyDescent="0.3">
      <c r="J851">
        <v>35</v>
      </c>
      <c r="K851">
        <v>50000</v>
      </c>
    </row>
    <row r="852" spans="10:11" x14ac:dyDescent="0.3">
      <c r="J852">
        <v>35</v>
      </c>
      <c r="K852">
        <v>50400</v>
      </c>
    </row>
    <row r="853" spans="10:11" x14ac:dyDescent="0.3">
      <c r="J853">
        <v>35</v>
      </c>
      <c r="K853">
        <v>51000</v>
      </c>
    </row>
    <row r="854" spans="10:11" x14ac:dyDescent="0.3">
      <c r="J854">
        <v>35</v>
      </c>
      <c r="K854">
        <v>53000</v>
      </c>
    </row>
    <row r="855" spans="10:11" x14ac:dyDescent="0.3">
      <c r="J855">
        <v>35</v>
      </c>
      <c r="K855">
        <v>54000</v>
      </c>
    </row>
    <row r="856" spans="10:11" x14ac:dyDescent="0.3">
      <c r="J856">
        <v>35</v>
      </c>
      <c r="K856">
        <v>55000</v>
      </c>
    </row>
    <row r="857" spans="10:11" x14ac:dyDescent="0.3">
      <c r="J857">
        <v>35</v>
      </c>
      <c r="K857">
        <v>56000</v>
      </c>
    </row>
    <row r="858" spans="10:11" x14ac:dyDescent="0.3">
      <c r="J858">
        <v>35</v>
      </c>
      <c r="K858">
        <v>60000</v>
      </c>
    </row>
    <row r="859" spans="10:11" x14ac:dyDescent="0.3">
      <c r="J859">
        <v>35</v>
      </c>
      <c r="K859">
        <v>60000</v>
      </c>
    </row>
    <row r="860" spans="10:11" x14ac:dyDescent="0.3">
      <c r="J860">
        <v>35</v>
      </c>
      <c r="K860">
        <v>60000</v>
      </c>
    </row>
    <row r="861" spans="10:11" x14ac:dyDescent="0.3">
      <c r="J861">
        <v>35</v>
      </c>
      <c r="K861">
        <v>60000</v>
      </c>
    </row>
    <row r="862" spans="10:11" x14ac:dyDescent="0.3">
      <c r="J862">
        <v>35</v>
      </c>
      <c r="K862">
        <v>63000</v>
      </c>
    </row>
    <row r="863" spans="10:11" x14ac:dyDescent="0.3">
      <c r="J863">
        <v>35</v>
      </c>
      <c r="K863">
        <v>63000</v>
      </c>
    </row>
    <row r="864" spans="10:11" x14ac:dyDescent="0.3">
      <c r="J864">
        <v>35</v>
      </c>
      <c r="K864">
        <v>63500</v>
      </c>
    </row>
    <row r="865" spans="10:11" x14ac:dyDescent="0.3">
      <c r="J865">
        <v>35</v>
      </c>
      <c r="K865">
        <v>65000</v>
      </c>
    </row>
    <row r="866" spans="10:11" x14ac:dyDescent="0.3">
      <c r="J866">
        <v>35</v>
      </c>
      <c r="K866">
        <v>65000</v>
      </c>
    </row>
    <row r="867" spans="10:11" x14ac:dyDescent="0.3">
      <c r="J867">
        <v>35</v>
      </c>
      <c r="K867">
        <v>65000</v>
      </c>
    </row>
    <row r="868" spans="10:11" x14ac:dyDescent="0.3">
      <c r="J868">
        <v>35</v>
      </c>
      <c r="K868">
        <v>66000</v>
      </c>
    </row>
    <row r="869" spans="10:11" x14ac:dyDescent="0.3">
      <c r="J869">
        <v>35</v>
      </c>
      <c r="K869">
        <v>66000</v>
      </c>
    </row>
    <row r="870" spans="10:11" x14ac:dyDescent="0.3">
      <c r="J870">
        <v>35</v>
      </c>
      <c r="K870">
        <v>66500</v>
      </c>
    </row>
    <row r="871" spans="10:11" x14ac:dyDescent="0.3">
      <c r="J871">
        <v>35</v>
      </c>
      <c r="K871">
        <v>67000</v>
      </c>
    </row>
    <row r="872" spans="10:11" x14ac:dyDescent="0.3">
      <c r="J872">
        <v>35</v>
      </c>
      <c r="K872">
        <v>68000</v>
      </c>
    </row>
    <row r="873" spans="10:11" x14ac:dyDescent="0.3">
      <c r="J873">
        <v>35</v>
      </c>
      <c r="K873">
        <v>68000</v>
      </c>
    </row>
    <row r="874" spans="10:11" x14ac:dyDescent="0.3">
      <c r="J874">
        <v>35</v>
      </c>
      <c r="K874">
        <v>70000</v>
      </c>
    </row>
    <row r="875" spans="10:11" x14ac:dyDescent="0.3">
      <c r="J875">
        <v>35</v>
      </c>
      <c r="K875">
        <v>70000</v>
      </c>
    </row>
    <row r="876" spans="10:11" x14ac:dyDescent="0.3">
      <c r="J876">
        <v>35</v>
      </c>
      <c r="K876">
        <v>70000</v>
      </c>
    </row>
    <row r="877" spans="10:11" x14ac:dyDescent="0.3">
      <c r="J877">
        <v>35</v>
      </c>
      <c r="K877">
        <v>70000</v>
      </c>
    </row>
    <row r="878" spans="10:11" x14ac:dyDescent="0.3">
      <c r="J878">
        <v>35</v>
      </c>
      <c r="K878">
        <v>72000</v>
      </c>
    </row>
    <row r="879" spans="10:11" x14ac:dyDescent="0.3">
      <c r="J879">
        <v>35</v>
      </c>
      <c r="K879">
        <v>72000</v>
      </c>
    </row>
    <row r="880" spans="10:11" x14ac:dyDescent="0.3">
      <c r="J880">
        <v>35</v>
      </c>
      <c r="K880">
        <v>74000</v>
      </c>
    </row>
    <row r="881" spans="10:11" x14ac:dyDescent="0.3">
      <c r="J881">
        <v>35</v>
      </c>
      <c r="K881">
        <v>74400</v>
      </c>
    </row>
    <row r="882" spans="10:11" x14ac:dyDescent="0.3">
      <c r="J882">
        <v>35</v>
      </c>
      <c r="K882">
        <v>75000</v>
      </c>
    </row>
    <row r="883" spans="10:11" x14ac:dyDescent="0.3">
      <c r="J883">
        <v>35</v>
      </c>
      <c r="K883">
        <v>75000</v>
      </c>
    </row>
    <row r="884" spans="10:11" x14ac:dyDescent="0.3">
      <c r="J884">
        <v>35</v>
      </c>
      <c r="K884">
        <v>75000</v>
      </c>
    </row>
    <row r="885" spans="10:11" x14ac:dyDescent="0.3">
      <c r="J885">
        <v>35</v>
      </c>
      <c r="K885">
        <v>75000</v>
      </c>
    </row>
    <row r="886" spans="10:11" x14ac:dyDescent="0.3">
      <c r="J886">
        <v>35</v>
      </c>
      <c r="K886">
        <v>75000</v>
      </c>
    </row>
    <row r="887" spans="10:11" x14ac:dyDescent="0.3">
      <c r="J887">
        <v>35</v>
      </c>
      <c r="K887">
        <v>75000</v>
      </c>
    </row>
    <row r="888" spans="10:11" x14ac:dyDescent="0.3">
      <c r="J888">
        <v>35</v>
      </c>
      <c r="K888">
        <v>75000</v>
      </c>
    </row>
    <row r="889" spans="10:11" x14ac:dyDescent="0.3">
      <c r="J889">
        <v>35</v>
      </c>
      <c r="K889">
        <v>76000</v>
      </c>
    </row>
    <row r="890" spans="10:11" x14ac:dyDescent="0.3">
      <c r="J890">
        <v>35</v>
      </c>
      <c r="K890">
        <v>77000</v>
      </c>
    </row>
    <row r="891" spans="10:11" x14ac:dyDescent="0.3">
      <c r="J891">
        <v>35</v>
      </c>
      <c r="K891">
        <v>77000</v>
      </c>
    </row>
    <row r="892" spans="10:11" x14ac:dyDescent="0.3">
      <c r="J892">
        <v>35</v>
      </c>
      <c r="K892">
        <v>77000</v>
      </c>
    </row>
    <row r="893" spans="10:11" x14ac:dyDescent="0.3">
      <c r="J893">
        <v>35</v>
      </c>
      <c r="K893">
        <v>77000</v>
      </c>
    </row>
    <row r="894" spans="10:11" x14ac:dyDescent="0.3">
      <c r="J894">
        <v>35</v>
      </c>
      <c r="K894">
        <v>78000</v>
      </c>
    </row>
    <row r="895" spans="10:11" x14ac:dyDescent="0.3">
      <c r="J895">
        <v>35</v>
      </c>
      <c r="K895">
        <v>80000</v>
      </c>
    </row>
    <row r="896" spans="10:11" x14ac:dyDescent="0.3">
      <c r="J896">
        <v>35</v>
      </c>
      <c r="K896">
        <v>80000</v>
      </c>
    </row>
    <row r="897" spans="10:11" x14ac:dyDescent="0.3">
      <c r="J897">
        <v>35</v>
      </c>
      <c r="K897">
        <v>80000</v>
      </c>
    </row>
    <row r="898" spans="10:11" x14ac:dyDescent="0.3">
      <c r="J898">
        <v>35</v>
      </c>
      <c r="K898">
        <v>80000</v>
      </c>
    </row>
    <row r="899" spans="10:11" x14ac:dyDescent="0.3">
      <c r="J899">
        <v>35</v>
      </c>
      <c r="K899">
        <v>84000</v>
      </c>
    </row>
    <row r="900" spans="10:11" x14ac:dyDescent="0.3">
      <c r="J900">
        <v>35</v>
      </c>
      <c r="K900">
        <v>85000</v>
      </c>
    </row>
    <row r="901" spans="10:11" x14ac:dyDescent="0.3">
      <c r="J901">
        <v>35</v>
      </c>
      <c r="K901">
        <v>85000</v>
      </c>
    </row>
    <row r="902" spans="10:11" x14ac:dyDescent="0.3">
      <c r="J902">
        <v>35</v>
      </c>
      <c r="K902">
        <v>85000</v>
      </c>
    </row>
    <row r="903" spans="10:11" x14ac:dyDescent="0.3">
      <c r="J903">
        <v>35</v>
      </c>
      <c r="K903">
        <v>85000</v>
      </c>
    </row>
    <row r="904" spans="10:11" x14ac:dyDescent="0.3">
      <c r="J904">
        <v>35</v>
      </c>
      <c r="K904">
        <v>85000</v>
      </c>
    </row>
    <row r="905" spans="10:11" x14ac:dyDescent="0.3">
      <c r="J905">
        <v>35</v>
      </c>
      <c r="K905">
        <v>85000</v>
      </c>
    </row>
    <row r="906" spans="10:11" x14ac:dyDescent="0.3">
      <c r="J906">
        <v>35</v>
      </c>
      <c r="K906">
        <v>85000</v>
      </c>
    </row>
    <row r="907" spans="10:11" x14ac:dyDescent="0.3">
      <c r="J907">
        <v>35</v>
      </c>
      <c r="K907">
        <v>90000</v>
      </c>
    </row>
    <row r="908" spans="10:11" x14ac:dyDescent="0.3">
      <c r="J908">
        <v>35</v>
      </c>
      <c r="K908">
        <v>90000</v>
      </c>
    </row>
    <row r="909" spans="10:11" x14ac:dyDescent="0.3">
      <c r="J909">
        <v>35</v>
      </c>
      <c r="K909">
        <v>90000</v>
      </c>
    </row>
    <row r="910" spans="10:11" x14ac:dyDescent="0.3">
      <c r="J910">
        <v>35</v>
      </c>
      <c r="K910">
        <v>90000</v>
      </c>
    </row>
    <row r="911" spans="10:11" x14ac:dyDescent="0.3">
      <c r="J911">
        <v>35</v>
      </c>
      <c r="K911">
        <v>95000</v>
      </c>
    </row>
    <row r="912" spans="10:11" x14ac:dyDescent="0.3">
      <c r="J912">
        <v>35</v>
      </c>
      <c r="K912">
        <v>95000</v>
      </c>
    </row>
    <row r="913" spans="10:11" x14ac:dyDescent="0.3">
      <c r="J913">
        <v>35</v>
      </c>
      <c r="K913">
        <v>96000</v>
      </c>
    </row>
    <row r="914" spans="10:11" x14ac:dyDescent="0.3">
      <c r="J914">
        <v>35</v>
      </c>
      <c r="K914">
        <v>98000</v>
      </c>
    </row>
    <row r="915" spans="10:11" x14ac:dyDescent="0.3">
      <c r="J915">
        <v>35</v>
      </c>
      <c r="K915">
        <v>100000</v>
      </c>
    </row>
    <row r="916" spans="10:11" x14ac:dyDescent="0.3">
      <c r="J916">
        <v>35</v>
      </c>
      <c r="K916">
        <v>100000</v>
      </c>
    </row>
    <row r="917" spans="10:11" x14ac:dyDescent="0.3">
      <c r="J917">
        <v>35</v>
      </c>
      <c r="K917">
        <v>100000</v>
      </c>
    </row>
    <row r="918" spans="10:11" x14ac:dyDescent="0.3">
      <c r="J918">
        <v>35</v>
      </c>
      <c r="K918">
        <v>100000</v>
      </c>
    </row>
    <row r="919" spans="10:11" x14ac:dyDescent="0.3">
      <c r="J919">
        <v>35</v>
      </c>
      <c r="K919">
        <v>100000</v>
      </c>
    </row>
    <row r="920" spans="10:11" x14ac:dyDescent="0.3">
      <c r="J920">
        <v>35</v>
      </c>
      <c r="K920">
        <v>103000</v>
      </c>
    </row>
    <row r="921" spans="10:11" x14ac:dyDescent="0.3">
      <c r="J921">
        <v>35</v>
      </c>
      <c r="K921">
        <v>120000</v>
      </c>
    </row>
    <row r="922" spans="10:11" x14ac:dyDescent="0.3">
      <c r="J922">
        <v>35</v>
      </c>
      <c r="K922">
        <v>140000</v>
      </c>
    </row>
    <row r="923" spans="10:11" x14ac:dyDescent="0.3">
      <c r="J923">
        <v>35</v>
      </c>
      <c r="K923">
        <v>200000</v>
      </c>
    </row>
    <row r="924" spans="10:11" x14ac:dyDescent="0.3">
      <c r="J924">
        <v>36</v>
      </c>
      <c r="K924">
        <v>37500</v>
      </c>
    </row>
    <row r="925" spans="10:11" x14ac:dyDescent="0.3">
      <c r="J925">
        <v>36</v>
      </c>
      <c r="K925">
        <v>40000</v>
      </c>
    </row>
    <row r="926" spans="10:11" x14ac:dyDescent="0.3">
      <c r="J926">
        <v>36</v>
      </c>
      <c r="K926">
        <v>42000</v>
      </c>
    </row>
    <row r="927" spans="10:11" x14ac:dyDescent="0.3">
      <c r="J927">
        <v>36</v>
      </c>
      <c r="K927">
        <v>48000</v>
      </c>
    </row>
    <row r="928" spans="10:11" x14ac:dyDescent="0.3">
      <c r="J928">
        <v>36</v>
      </c>
      <c r="K928">
        <v>50000</v>
      </c>
    </row>
    <row r="929" spans="10:11" x14ac:dyDescent="0.3">
      <c r="J929">
        <v>36</v>
      </c>
      <c r="K929">
        <v>52500</v>
      </c>
    </row>
    <row r="930" spans="10:11" x14ac:dyDescent="0.3">
      <c r="J930">
        <v>36</v>
      </c>
      <c r="K930">
        <v>55000</v>
      </c>
    </row>
    <row r="931" spans="10:11" x14ac:dyDescent="0.3">
      <c r="J931">
        <v>36</v>
      </c>
      <c r="K931">
        <v>55000</v>
      </c>
    </row>
    <row r="932" spans="10:11" x14ac:dyDescent="0.3">
      <c r="J932">
        <v>36</v>
      </c>
      <c r="K932">
        <v>58000</v>
      </c>
    </row>
    <row r="933" spans="10:11" x14ac:dyDescent="0.3">
      <c r="J933">
        <v>36</v>
      </c>
      <c r="K933">
        <v>60000</v>
      </c>
    </row>
    <row r="934" spans="10:11" x14ac:dyDescent="0.3">
      <c r="J934">
        <v>36</v>
      </c>
      <c r="K934">
        <v>60000</v>
      </c>
    </row>
    <row r="935" spans="10:11" x14ac:dyDescent="0.3">
      <c r="J935">
        <v>36</v>
      </c>
      <c r="K935">
        <v>60000</v>
      </c>
    </row>
    <row r="936" spans="10:11" x14ac:dyDescent="0.3">
      <c r="J936">
        <v>36</v>
      </c>
      <c r="K936">
        <v>62000</v>
      </c>
    </row>
    <row r="937" spans="10:11" x14ac:dyDescent="0.3">
      <c r="J937">
        <v>36</v>
      </c>
      <c r="K937">
        <v>62500</v>
      </c>
    </row>
    <row r="938" spans="10:11" x14ac:dyDescent="0.3">
      <c r="J938">
        <v>36</v>
      </c>
      <c r="K938">
        <v>63000</v>
      </c>
    </row>
    <row r="939" spans="10:11" x14ac:dyDescent="0.3">
      <c r="J939">
        <v>36</v>
      </c>
      <c r="K939">
        <v>64000</v>
      </c>
    </row>
    <row r="940" spans="10:11" x14ac:dyDescent="0.3">
      <c r="J940">
        <v>36</v>
      </c>
      <c r="K940">
        <v>65000</v>
      </c>
    </row>
    <row r="941" spans="10:11" x14ac:dyDescent="0.3">
      <c r="J941">
        <v>36</v>
      </c>
      <c r="K941">
        <v>65000</v>
      </c>
    </row>
    <row r="942" spans="10:11" x14ac:dyDescent="0.3">
      <c r="J942">
        <v>36</v>
      </c>
      <c r="K942">
        <v>65000</v>
      </c>
    </row>
    <row r="943" spans="10:11" x14ac:dyDescent="0.3">
      <c r="J943">
        <v>36</v>
      </c>
      <c r="K943">
        <v>66000</v>
      </c>
    </row>
    <row r="944" spans="10:11" x14ac:dyDescent="0.3">
      <c r="J944">
        <v>36</v>
      </c>
      <c r="K944">
        <v>68000</v>
      </c>
    </row>
    <row r="945" spans="10:11" x14ac:dyDescent="0.3">
      <c r="J945">
        <v>36</v>
      </c>
      <c r="K945">
        <v>68000</v>
      </c>
    </row>
    <row r="946" spans="10:11" x14ac:dyDescent="0.3">
      <c r="J946">
        <v>36</v>
      </c>
      <c r="K946">
        <v>69000</v>
      </c>
    </row>
    <row r="947" spans="10:11" x14ac:dyDescent="0.3">
      <c r="J947">
        <v>36</v>
      </c>
      <c r="K947">
        <v>69000</v>
      </c>
    </row>
    <row r="948" spans="10:11" x14ac:dyDescent="0.3">
      <c r="J948">
        <v>36</v>
      </c>
      <c r="K948">
        <v>70000</v>
      </c>
    </row>
    <row r="949" spans="10:11" x14ac:dyDescent="0.3">
      <c r="J949">
        <v>36</v>
      </c>
      <c r="K949">
        <v>70000</v>
      </c>
    </row>
    <row r="950" spans="10:11" x14ac:dyDescent="0.3">
      <c r="J950">
        <v>36</v>
      </c>
      <c r="K950">
        <v>70000</v>
      </c>
    </row>
    <row r="951" spans="10:11" x14ac:dyDescent="0.3">
      <c r="J951">
        <v>36</v>
      </c>
      <c r="K951">
        <v>70000</v>
      </c>
    </row>
    <row r="952" spans="10:11" x14ac:dyDescent="0.3">
      <c r="J952">
        <v>36</v>
      </c>
      <c r="K952">
        <v>72000</v>
      </c>
    </row>
    <row r="953" spans="10:11" x14ac:dyDescent="0.3">
      <c r="J953">
        <v>36</v>
      </c>
      <c r="K953">
        <v>72000</v>
      </c>
    </row>
    <row r="954" spans="10:11" x14ac:dyDescent="0.3">
      <c r="J954">
        <v>36</v>
      </c>
      <c r="K954">
        <v>74000</v>
      </c>
    </row>
    <row r="955" spans="10:11" x14ac:dyDescent="0.3">
      <c r="J955">
        <v>36</v>
      </c>
      <c r="K955">
        <v>75000</v>
      </c>
    </row>
    <row r="956" spans="10:11" x14ac:dyDescent="0.3">
      <c r="J956">
        <v>36</v>
      </c>
      <c r="K956">
        <v>75000</v>
      </c>
    </row>
    <row r="957" spans="10:11" x14ac:dyDescent="0.3">
      <c r="J957">
        <v>36</v>
      </c>
      <c r="K957">
        <v>75000</v>
      </c>
    </row>
    <row r="958" spans="10:11" x14ac:dyDescent="0.3">
      <c r="J958">
        <v>36</v>
      </c>
      <c r="K958">
        <v>75000</v>
      </c>
    </row>
    <row r="959" spans="10:11" x14ac:dyDescent="0.3">
      <c r="J959">
        <v>36</v>
      </c>
      <c r="K959">
        <v>78000</v>
      </c>
    </row>
    <row r="960" spans="10:11" x14ac:dyDescent="0.3">
      <c r="J960">
        <v>36</v>
      </c>
      <c r="K960">
        <v>79300</v>
      </c>
    </row>
    <row r="961" spans="10:11" x14ac:dyDescent="0.3">
      <c r="J961">
        <v>36</v>
      </c>
      <c r="K961">
        <v>80000</v>
      </c>
    </row>
    <row r="962" spans="10:11" x14ac:dyDescent="0.3">
      <c r="J962">
        <v>36</v>
      </c>
      <c r="K962">
        <v>80000</v>
      </c>
    </row>
    <row r="963" spans="10:11" x14ac:dyDescent="0.3">
      <c r="J963">
        <v>36</v>
      </c>
      <c r="K963">
        <v>81500</v>
      </c>
    </row>
    <row r="964" spans="10:11" x14ac:dyDescent="0.3">
      <c r="J964">
        <v>36</v>
      </c>
      <c r="K964">
        <v>82000</v>
      </c>
    </row>
    <row r="965" spans="10:11" x14ac:dyDescent="0.3">
      <c r="J965">
        <v>36</v>
      </c>
      <c r="K965">
        <v>83000</v>
      </c>
    </row>
    <row r="966" spans="10:11" x14ac:dyDescent="0.3">
      <c r="J966">
        <v>36</v>
      </c>
      <c r="K966">
        <v>85000</v>
      </c>
    </row>
    <row r="967" spans="10:11" x14ac:dyDescent="0.3">
      <c r="J967">
        <v>36</v>
      </c>
      <c r="K967">
        <v>85000</v>
      </c>
    </row>
    <row r="968" spans="10:11" x14ac:dyDescent="0.3">
      <c r="J968">
        <v>36</v>
      </c>
      <c r="K968">
        <v>87000</v>
      </c>
    </row>
    <row r="969" spans="10:11" x14ac:dyDescent="0.3">
      <c r="J969">
        <v>36</v>
      </c>
      <c r="K969">
        <v>88000</v>
      </c>
    </row>
    <row r="970" spans="10:11" x14ac:dyDescent="0.3">
      <c r="J970">
        <v>36</v>
      </c>
      <c r="K970">
        <v>89200</v>
      </c>
    </row>
    <row r="971" spans="10:11" x14ac:dyDescent="0.3">
      <c r="J971">
        <v>36</v>
      </c>
      <c r="K971">
        <v>90000</v>
      </c>
    </row>
    <row r="972" spans="10:11" x14ac:dyDescent="0.3">
      <c r="J972">
        <v>36</v>
      </c>
      <c r="K972">
        <v>90000</v>
      </c>
    </row>
    <row r="973" spans="10:11" x14ac:dyDescent="0.3">
      <c r="J973">
        <v>36</v>
      </c>
      <c r="K973">
        <v>98000</v>
      </c>
    </row>
    <row r="974" spans="10:11" x14ac:dyDescent="0.3">
      <c r="J974">
        <v>36</v>
      </c>
      <c r="K974">
        <v>100000</v>
      </c>
    </row>
    <row r="975" spans="10:11" x14ac:dyDescent="0.3">
      <c r="J975">
        <v>36</v>
      </c>
      <c r="K975">
        <v>100000</v>
      </c>
    </row>
    <row r="976" spans="10:11" x14ac:dyDescent="0.3">
      <c r="J976">
        <v>36</v>
      </c>
      <c r="K976">
        <v>105000</v>
      </c>
    </row>
    <row r="977" spans="10:11" x14ac:dyDescent="0.3">
      <c r="J977">
        <v>36</v>
      </c>
      <c r="K977">
        <v>105000</v>
      </c>
    </row>
    <row r="978" spans="10:11" x14ac:dyDescent="0.3">
      <c r="J978">
        <v>36</v>
      </c>
      <c r="K978">
        <v>106000</v>
      </c>
    </row>
    <row r="979" spans="10:11" x14ac:dyDescent="0.3">
      <c r="J979">
        <v>36</v>
      </c>
      <c r="K979">
        <v>110000</v>
      </c>
    </row>
    <row r="980" spans="10:11" x14ac:dyDescent="0.3">
      <c r="J980">
        <v>36</v>
      </c>
      <c r="K980">
        <v>120000</v>
      </c>
    </row>
    <row r="981" spans="10:11" x14ac:dyDescent="0.3">
      <c r="J981">
        <v>36</v>
      </c>
      <c r="K981">
        <v>124000</v>
      </c>
    </row>
    <row r="982" spans="10:11" x14ac:dyDescent="0.3">
      <c r="J982" s="91">
        <v>36</v>
      </c>
      <c r="K982" s="91">
        <v>150000</v>
      </c>
    </row>
    <row r="983" spans="10:11" x14ac:dyDescent="0.3">
      <c r="J983">
        <v>36</v>
      </c>
      <c r="K983">
        <v>172000</v>
      </c>
    </row>
    <row r="984" spans="10:11" x14ac:dyDescent="0.3">
      <c r="J984">
        <v>37</v>
      </c>
      <c r="K984">
        <v>46000</v>
      </c>
    </row>
    <row r="985" spans="10:11" x14ac:dyDescent="0.3">
      <c r="J985">
        <v>37</v>
      </c>
      <c r="K985">
        <v>47400</v>
      </c>
    </row>
    <row r="986" spans="10:11" x14ac:dyDescent="0.3">
      <c r="J986">
        <v>37</v>
      </c>
      <c r="K986">
        <v>54000</v>
      </c>
    </row>
    <row r="987" spans="10:11" x14ac:dyDescent="0.3">
      <c r="J987">
        <v>37</v>
      </c>
      <c r="K987">
        <v>55000</v>
      </c>
    </row>
    <row r="988" spans="10:11" x14ac:dyDescent="0.3">
      <c r="J988">
        <v>37</v>
      </c>
      <c r="K988">
        <v>57000</v>
      </c>
    </row>
    <row r="989" spans="10:11" x14ac:dyDescent="0.3">
      <c r="J989">
        <v>37</v>
      </c>
      <c r="K989">
        <v>60000</v>
      </c>
    </row>
    <row r="990" spans="10:11" x14ac:dyDescent="0.3">
      <c r="J990">
        <v>37</v>
      </c>
      <c r="K990">
        <v>60000</v>
      </c>
    </row>
    <row r="991" spans="10:11" x14ac:dyDescent="0.3">
      <c r="J991">
        <v>37</v>
      </c>
      <c r="K991">
        <v>62000</v>
      </c>
    </row>
    <row r="992" spans="10:11" x14ac:dyDescent="0.3">
      <c r="J992">
        <v>37</v>
      </c>
      <c r="K992">
        <v>62000</v>
      </c>
    </row>
    <row r="993" spans="10:11" x14ac:dyDescent="0.3">
      <c r="J993">
        <v>37</v>
      </c>
      <c r="K993">
        <v>62000</v>
      </c>
    </row>
    <row r="994" spans="10:11" x14ac:dyDescent="0.3">
      <c r="J994">
        <v>37</v>
      </c>
      <c r="K994">
        <v>62000</v>
      </c>
    </row>
    <row r="995" spans="10:11" x14ac:dyDescent="0.3">
      <c r="J995">
        <v>37</v>
      </c>
      <c r="K995">
        <v>65000</v>
      </c>
    </row>
    <row r="996" spans="10:11" x14ac:dyDescent="0.3">
      <c r="J996">
        <v>37</v>
      </c>
      <c r="K996">
        <v>65000</v>
      </c>
    </row>
    <row r="997" spans="10:11" x14ac:dyDescent="0.3">
      <c r="J997">
        <v>37</v>
      </c>
      <c r="K997">
        <v>67000</v>
      </c>
    </row>
    <row r="998" spans="10:11" x14ac:dyDescent="0.3">
      <c r="J998">
        <v>37</v>
      </c>
      <c r="K998">
        <v>67000</v>
      </c>
    </row>
    <row r="999" spans="10:11" x14ac:dyDescent="0.3">
      <c r="J999">
        <v>37</v>
      </c>
      <c r="K999">
        <v>67500</v>
      </c>
    </row>
    <row r="1000" spans="10:11" x14ac:dyDescent="0.3">
      <c r="J1000">
        <v>37</v>
      </c>
      <c r="K1000">
        <v>69200</v>
      </c>
    </row>
    <row r="1001" spans="10:11" x14ac:dyDescent="0.3">
      <c r="J1001">
        <v>37</v>
      </c>
      <c r="K1001">
        <v>70000</v>
      </c>
    </row>
    <row r="1002" spans="10:11" x14ac:dyDescent="0.3">
      <c r="J1002">
        <v>37</v>
      </c>
      <c r="K1002">
        <v>70000</v>
      </c>
    </row>
    <row r="1003" spans="10:11" x14ac:dyDescent="0.3">
      <c r="J1003">
        <v>37</v>
      </c>
      <c r="K1003">
        <v>70000</v>
      </c>
    </row>
    <row r="1004" spans="10:11" x14ac:dyDescent="0.3">
      <c r="J1004">
        <v>37</v>
      </c>
      <c r="K1004">
        <v>70000</v>
      </c>
    </row>
    <row r="1005" spans="10:11" x14ac:dyDescent="0.3">
      <c r="J1005">
        <v>37</v>
      </c>
      <c r="K1005">
        <v>70000</v>
      </c>
    </row>
    <row r="1006" spans="10:11" x14ac:dyDescent="0.3">
      <c r="J1006">
        <v>37</v>
      </c>
      <c r="K1006">
        <v>72000</v>
      </c>
    </row>
    <row r="1007" spans="10:11" x14ac:dyDescent="0.3">
      <c r="J1007">
        <v>37</v>
      </c>
      <c r="K1007">
        <v>73000</v>
      </c>
    </row>
    <row r="1008" spans="10:11" x14ac:dyDescent="0.3">
      <c r="J1008">
        <v>37</v>
      </c>
      <c r="K1008">
        <v>75000</v>
      </c>
    </row>
    <row r="1009" spans="10:11" x14ac:dyDescent="0.3">
      <c r="J1009">
        <v>37</v>
      </c>
      <c r="K1009">
        <v>75000</v>
      </c>
    </row>
    <row r="1010" spans="10:11" x14ac:dyDescent="0.3">
      <c r="J1010">
        <v>37</v>
      </c>
      <c r="K1010">
        <v>76900</v>
      </c>
    </row>
    <row r="1011" spans="10:11" x14ac:dyDescent="0.3">
      <c r="J1011">
        <v>37</v>
      </c>
      <c r="K1011">
        <v>77000</v>
      </c>
    </row>
    <row r="1012" spans="10:11" x14ac:dyDescent="0.3">
      <c r="J1012">
        <v>37</v>
      </c>
      <c r="K1012">
        <v>78000</v>
      </c>
    </row>
    <row r="1013" spans="10:11" x14ac:dyDescent="0.3">
      <c r="J1013">
        <v>37</v>
      </c>
      <c r="K1013">
        <v>80000</v>
      </c>
    </row>
    <row r="1014" spans="10:11" x14ac:dyDescent="0.3">
      <c r="J1014">
        <v>37</v>
      </c>
      <c r="K1014">
        <v>80000</v>
      </c>
    </row>
    <row r="1015" spans="10:11" x14ac:dyDescent="0.3">
      <c r="J1015">
        <v>37</v>
      </c>
      <c r="K1015">
        <v>80000</v>
      </c>
    </row>
    <row r="1016" spans="10:11" x14ac:dyDescent="0.3">
      <c r="J1016">
        <v>37</v>
      </c>
      <c r="K1016">
        <v>82000</v>
      </c>
    </row>
    <row r="1017" spans="10:11" x14ac:dyDescent="0.3">
      <c r="J1017">
        <v>37</v>
      </c>
      <c r="K1017">
        <v>84000</v>
      </c>
    </row>
    <row r="1018" spans="10:11" x14ac:dyDescent="0.3">
      <c r="J1018">
        <v>37</v>
      </c>
      <c r="K1018">
        <v>84000</v>
      </c>
    </row>
    <row r="1019" spans="10:11" x14ac:dyDescent="0.3">
      <c r="J1019">
        <v>37</v>
      </c>
      <c r="K1019">
        <v>84700</v>
      </c>
    </row>
    <row r="1020" spans="10:11" x14ac:dyDescent="0.3">
      <c r="J1020">
        <v>37</v>
      </c>
      <c r="K1020">
        <v>85000</v>
      </c>
    </row>
    <row r="1021" spans="10:11" x14ac:dyDescent="0.3">
      <c r="J1021">
        <v>37</v>
      </c>
      <c r="K1021">
        <v>90000</v>
      </c>
    </row>
    <row r="1022" spans="10:11" x14ac:dyDescent="0.3">
      <c r="J1022">
        <v>37</v>
      </c>
      <c r="K1022">
        <v>90000</v>
      </c>
    </row>
    <row r="1023" spans="10:11" x14ac:dyDescent="0.3">
      <c r="J1023">
        <v>37</v>
      </c>
      <c r="K1023">
        <v>90000</v>
      </c>
    </row>
    <row r="1024" spans="10:11" x14ac:dyDescent="0.3">
      <c r="J1024">
        <v>37</v>
      </c>
      <c r="K1024">
        <v>102000</v>
      </c>
    </row>
    <row r="1025" spans="10:11" x14ac:dyDescent="0.3">
      <c r="J1025">
        <v>37</v>
      </c>
      <c r="K1025">
        <v>120000</v>
      </c>
    </row>
    <row r="1026" spans="10:11" x14ac:dyDescent="0.3">
      <c r="J1026">
        <v>37</v>
      </c>
      <c r="K1026">
        <v>130000</v>
      </c>
    </row>
    <row r="1027" spans="10:11" x14ac:dyDescent="0.3">
      <c r="J1027">
        <v>37</v>
      </c>
      <c r="K1027">
        <v>156000</v>
      </c>
    </row>
    <row r="1028" spans="10:11" x14ac:dyDescent="0.3">
      <c r="J1028">
        <v>38</v>
      </c>
      <c r="K1028">
        <v>35000</v>
      </c>
    </row>
    <row r="1029" spans="10:11" x14ac:dyDescent="0.3">
      <c r="J1029">
        <v>38</v>
      </c>
      <c r="K1029">
        <v>40700</v>
      </c>
    </row>
    <row r="1030" spans="10:11" x14ac:dyDescent="0.3">
      <c r="J1030">
        <v>38</v>
      </c>
      <c r="K1030">
        <v>43000</v>
      </c>
    </row>
    <row r="1031" spans="10:11" x14ac:dyDescent="0.3">
      <c r="J1031">
        <v>38</v>
      </c>
      <c r="K1031">
        <v>44000</v>
      </c>
    </row>
    <row r="1032" spans="10:11" x14ac:dyDescent="0.3">
      <c r="J1032">
        <v>38</v>
      </c>
      <c r="K1032">
        <v>45500</v>
      </c>
    </row>
    <row r="1033" spans="10:11" x14ac:dyDescent="0.3">
      <c r="J1033">
        <v>38</v>
      </c>
      <c r="K1033">
        <v>54500</v>
      </c>
    </row>
    <row r="1034" spans="10:11" x14ac:dyDescent="0.3">
      <c r="J1034">
        <v>38</v>
      </c>
      <c r="K1034">
        <v>55000</v>
      </c>
    </row>
    <row r="1035" spans="10:11" x14ac:dyDescent="0.3">
      <c r="J1035">
        <v>38</v>
      </c>
      <c r="K1035">
        <v>56000</v>
      </c>
    </row>
    <row r="1036" spans="10:11" x14ac:dyDescent="0.3">
      <c r="J1036">
        <v>38</v>
      </c>
      <c r="K1036">
        <v>56400</v>
      </c>
    </row>
    <row r="1037" spans="10:11" x14ac:dyDescent="0.3">
      <c r="J1037">
        <v>38</v>
      </c>
      <c r="K1037">
        <v>59000</v>
      </c>
    </row>
    <row r="1038" spans="10:11" x14ac:dyDescent="0.3">
      <c r="J1038">
        <v>38</v>
      </c>
      <c r="K1038">
        <v>62000</v>
      </c>
    </row>
    <row r="1039" spans="10:11" x14ac:dyDescent="0.3">
      <c r="J1039">
        <v>38</v>
      </c>
      <c r="K1039">
        <v>62000</v>
      </c>
    </row>
    <row r="1040" spans="10:11" x14ac:dyDescent="0.3">
      <c r="J1040">
        <v>38</v>
      </c>
      <c r="K1040">
        <v>64000</v>
      </c>
    </row>
    <row r="1041" spans="10:11" x14ac:dyDescent="0.3">
      <c r="J1041">
        <v>38</v>
      </c>
      <c r="K1041">
        <v>65000</v>
      </c>
    </row>
    <row r="1042" spans="10:11" x14ac:dyDescent="0.3">
      <c r="J1042">
        <v>38</v>
      </c>
      <c r="K1042">
        <v>65000</v>
      </c>
    </row>
    <row r="1043" spans="10:11" x14ac:dyDescent="0.3">
      <c r="J1043">
        <v>38</v>
      </c>
      <c r="K1043">
        <v>66000</v>
      </c>
    </row>
    <row r="1044" spans="10:11" x14ac:dyDescent="0.3">
      <c r="J1044">
        <v>38</v>
      </c>
      <c r="K1044">
        <v>68000</v>
      </c>
    </row>
    <row r="1045" spans="10:11" x14ac:dyDescent="0.3">
      <c r="J1045">
        <v>38</v>
      </c>
      <c r="K1045">
        <v>68500</v>
      </c>
    </row>
    <row r="1046" spans="10:11" x14ac:dyDescent="0.3">
      <c r="J1046">
        <v>38</v>
      </c>
      <c r="K1046">
        <v>70000</v>
      </c>
    </row>
    <row r="1047" spans="10:11" x14ac:dyDescent="0.3">
      <c r="J1047">
        <v>38</v>
      </c>
      <c r="K1047">
        <v>70000</v>
      </c>
    </row>
    <row r="1048" spans="10:11" x14ac:dyDescent="0.3">
      <c r="J1048">
        <v>38</v>
      </c>
      <c r="K1048">
        <v>70000</v>
      </c>
    </row>
    <row r="1049" spans="10:11" x14ac:dyDescent="0.3">
      <c r="J1049">
        <v>38</v>
      </c>
      <c r="K1049">
        <v>70000</v>
      </c>
    </row>
    <row r="1050" spans="10:11" x14ac:dyDescent="0.3">
      <c r="J1050">
        <v>38</v>
      </c>
      <c r="K1050">
        <v>70000</v>
      </c>
    </row>
    <row r="1051" spans="10:11" x14ac:dyDescent="0.3">
      <c r="J1051">
        <v>38</v>
      </c>
      <c r="K1051">
        <v>70000</v>
      </c>
    </row>
    <row r="1052" spans="10:11" x14ac:dyDescent="0.3">
      <c r="J1052">
        <v>38</v>
      </c>
      <c r="K1052">
        <v>73000</v>
      </c>
    </row>
    <row r="1053" spans="10:11" x14ac:dyDescent="0.3">
      <c r="J1053">
        <v>38</v>
      </c>
      <c r="K1053">
        <v>74000</v>
      </c>
    </row>
    <row r="1054" spans="10:11" x14ac:dyDescent="0.3">
      <c r="J1054">
        <v>38</v>
      </c>
      <c r="K1054">
        <v>75000</v>
      </c>
    </row>
    <row r="1055" spans="10:11" x14ac:dyDescent="0.3">
      <c r="J1055">
        <v>38</v>
      </c>
      <c r="K1055">
        <v>80000</v>
      </c>
    </row>
    <row r="1056" spans="10:11" x14ac:dyDescent="0.3">
      <c r="J1056">
        <v>38</v>
      </c>
      <c r="K1056">
        <v>80000</v>
      </c>
    </row>
    <row r="1057" spans="10:11" x14ac:dyDescent="0.3">
      <c r="J1057">
        <v>38</v>
      </c>
      <c r="K1057">
        <v>80000</v>
      </c>
    </row>
    <row r="1058" spans="10:11" x14ac:dyDescent="0.3">
      <c r="J1058">
        <v>38</v>
      </c>
      <c r="K1058">
        <v>80000</v>
      </c>
    </row>
    <row r="1059" spans="10:11" x14ac:dyDescent="0.3">
      <c r="J1059">
        <v>38</v>
      </c>
      <c r="K1059">
        <v>83000</v>
      </c>
    </row>
    <row r="1060" spans="10:11" x14ac:dyDescent="0.3">
      <c r="J1060">
        <v>38</v>
      </c>
      <c r="K1060">
        <v>83000</v>
      </c>
    </row>
    <row r="1061" spans="10:11" x14ac:dyDescent="0.3">
      <c r="J1061">
        <v>38</v>
      </c>
      <c r="K1061">
        <v>85000</v>
      </c>
    </row>
    <row r="1062" spans="10:11" x14ac:dyDescent="0.3">
      <c r="J1062">
        <v>38</v>
      </c>
      <c r="K1062">
        <v>87550</v>
      </c>
    </row>
    <row r="1063" spans="10:11" x14ac:dyDescent="0.3">
      <c r="J1063">
        <v>38</v>
      </c>
      <c r="K1063">
        <v>89570</v>
      </c>
    </row>
    <row r="1064" spans="10:11" x14ac:dyDescent="0.3">
      <c r="J1064">
        <v>38</v>
      </c>
      <c r="K1064">
        <v>90000</v>
      </c>
    </row>
    <row r="1065" spans="10:11" x14ac:dyDescent="0.3">
      <c r="J1065">
        <v>38</v>
      </c>
      <c r="K1065">
        <v>90000</v>
      </c>
    </row>
    <row r="1066" spans="10:11" x14ac:dyDescent="0.3">
      <c r="J1066">
        <v>38</v>
      </c>
      <c r="K1066">
        <v>92000</v>
      </c>
    </row>
    <row r="1067" spans="10:11" x14ac:dyDescent="0.3">
      <c r="J1067">
        <v>38</v>
      </c>
      <c r="K1067">
        <v>92000</v>
      </c>
    </row>
    <row r="1068" spans="10:11" x14ac:dyDescent="0.3">
      <c r="J1068">
        <v>38</v>
      </c>
      <c r="K1068">
        <v>95000</v>
      </c>
    </row>
    <row r="1069" spans="10:11" x14ac:dyDescent="0.3">
      <c r="J1069">
        <v>38</v>
      </c>
      <c r="K1069">
        <v>99000</v>
      </c>
    </row>
    <row r="1070" spans="10:11" x14ac:dyDescent="0.3">
      <c r="J1070">
        <v>38</v>
      </c>
      <c r="K1070">
        <v>100000</v>
      </c>
    </row>
    <row r="1071" spans="10:11" x14ac:dyDescent="0.3">
      <c r="J1071">
        <v>38</v>
      </c>
      <c r="K1071">
        <v>100000</v>
      </c>
    </row>
    <row r="1072" spans="10:11" x14ac:dyDescent="0.3">
      <c r="J1072">
        <v>38</v>
      </c>
      <c r="K1072">
        <v>110000</v>
      </c>
    </row>
    <row r="1073" spans="10:11" x14ac:dyDescent="0.3">
      <c r="J1073">
        <v>38</v>
      </c>
      <c r="K1073">
        <v>130000</v>
      </c>
    </row>
    <row r="1074" spans="10:11" x14ac:dyDescent="0.3">
      <c r="J1074">
        <v>38</v>
      </c>
      <c r="K1074">
        <v>130000</v>
      </c>
    </row>
    <row r="1075" spans="10:11" x14ac:dyDescent="0.3">
      <c r="J1075">
        <v>38</v>
      </c>
      <c r="K1075">
        <v>200000</v>
      </c>
    </row>
    <row r="1076" spans="10:11" x14ac:dyDescent="0.3">
      <c r="J1076">
        <v>39</v>
      </c>
      <c r="K1076">
        <v>56000</v>
      </c>
    </row>
    <row r="1077" spans="10:11" x14ac:dyDescent="0.3">
      <c r="J1077">
        <v>39</v>
      </c>
      <c r="K1077">
        <v>60000</v>
      </c>
    </row>
    <row r="1078" spans="10:11" x14ac:dyDescent="0.3">
      <c r="J1078">
        <v>39</v>
      </c>
      <c r="K1078">
        <v>60000</v>
      </c>
    </row>
    <row r="1079" spans="10:11" x14ac:dyDescent="0.3">
      <c r="J1079">
        <v>39</v>
      </c>
      <c r="K1079">
        <v>62400</v>
      </c>
    </row>
    <row r="1080" spans="10:11" x14ac:dyDescent="0.3">
      <c r="J1080">
        <v>39</v>
      </c>
      <c r="K1080">
        <v>64000</v>
      </c>
    </row>
    <row r="1081" spans="10:11" x14ac:dyDescent="0.3">
      <c r="J1081">
        <v>39</v>
      </c>
      <c r="K1081">
        <v>65000</v>
      </c>
    </row>
    <row r="1082" spans="10:11" x14ac:dyDescent="0.3">
      <c r="J1082">
        <v>39</v>
      </c>
      <c r="K1082">
        <v>70000</v>
      </c>
    </row>
    <row r="1083" spans="10:11" x14ac:dyDescent="0.3">
      <c r="J1083">
        <v>39</v>
      </c>
      <c r="K1083">
        <v>70000</v>
      </c>
    </row>
    <row r="1084" spans="10:11" x14ac:dyDescent="0.3">
      <c r="J1084">
        <v>39</v>
      </c>
      <c r="K1084">
        <v>70500</v>
      </c>
    </row>
    <row r="1085" spans="10:11" x14ac:dyDescent="0.3">
      <c r="J1085">
        <v>39</v>
      </c>
      <c r="K1085">
        <v>75000</v>
      </c>
    </row>
    <row r="1086" spans="10:11" x14ac:dyDescent="0.3">
      <c r="J1086">
        <v>39</v>
      </c>
      <c r="K1086">
        <v>75000</v>
      </c>
    </row>
    <row r="1087" spans="10:11" x14ac:dyDescent="0.3">
      <c r="J1087">
        <v>39</v>
      </c>
      <c r="K1087">
        <v>75000</v>
      </c>
    </row>
    <row r="1088" spans="10:11" x14ac:dyDescent="0.3">
      <c r="J1088">
        <v>39</v>
      </c>
      <c r="K1088">
        <v>75000</v>
      </c>
    </row>
    <row r="1089" spans="10:11" x14ac:dyDescent="0.3">
      <c r="J1089">
        <v>39</v>
      </c>
      <c r="K1089">
        <v>76000</v>
      </c>
    </row>
    <row r="1090" spans="10:11" x14ac:dyDescent="0.3">
      <c r="J1090">
        <v>39</v>
      </c>
      <c r="K1090">
        <v>78000</v>
      </c>
    </row>
    <row r="1091" spans="10:11" x14ac:dyDescent="0.3">
      <c r="J1091">
        <v>39</v>
      </c>
      <c r="K1091">
        <v>80000</v>
      </c>
    </row>
    <row r="1092" spans="10:11" x14ac:dyDescent="0.3">
      <c r="J1092">
        <v>39</v>
      </c>
      <c r="K1092">
        <v>80000</v>
      </c>
    </row>
    <row r="1093" spans="10:11" x14ac:dyDescent="0.3">
      <c r="J1093">
        <v>39</v>
      </c>
      <c r="K1093">
        <v>82000</v>
      </c>
    </row>
    <row r="1094" spans="10:11" x14ac:dyDescent="0.3">
      <c r="J1094">
        <v>39</v>
      </c>
      <c r="K1094">
        <v>85000</v>
      </c>
    </row>
    <row r="1095" spans="10:11" x14ac:dyDescent="0.3">
      <c r="J1095">
        <v>39</v>
      </c>
      <c r="K1095">
        <v>87000</v>
      </c>
    </row>
    <row r="1096" spans="10:11" x14ac:dyDescent="0.3">
      <c r="J1096">
        <v>39</v>
      </c>
      <c r="K1096">
        <v>93000</v>
      </c>
    </row>
    <row r="1097" spans="10:11" x14ac:dyDescent="0.3">
      <c r="J1097">
        <v>39</v>
      </c>
      <c r="K1097">
        <v>108000</v>
      </c>
    </row>
    <row r="1098" spans="10:11" x14ac:dyDescent="0.3">
      <c r="J1098">
        <v>39</v>
      </c>
      <c r="K1098">
        <v>108000</v>
      </c>
    </row>
    <row r="1099" spans="10:11" x14ac:dyDescent="0.3">
      <c r="J1099">
        <v>39</v>
      </c>
      <c r="K1099">
        <v>110000</v>
      </c>
    </row>
    <row r="1100" spans="10:11" x14ac:dyDescent="0.3">
      <c r="J1100">
        <v>39</v>
      </c>
      <c r="K1100">
        <v>120000</v>
      </c>
    </row>
    <row r="1101" spans="10:11" x14ac:dyDescent="0.3">
      <c r="J1101">
        <v>39</v>
      </c>
      <c r="K1101">
        <v>122000</v>
      </c>
    </row>
    <row r="1102" spans="10:11" x14ac:dyDescent="0.3">
      <c r="J1102">
        <v>39</v>
      </c>
      <c r="K1102">
        <v>130000</v>
      </c>
    </row>
    <row r="1103" spans="10:11" x14ac:dyDescent="0.3">
      <c r="J1103">
        <v>39</v>
      </c>
      <c r="K1103">
        <v>180000</v>
      </c>
    </row>
    <row r="1104" spans="10:11" x14ac:dyDescent="0.3">
      <c r="J1104">
        <v>40</v>
      </c>
      <c r="K1104">
        <v>50000</v>
      </c>
    </row>
    <row r="1105" spans="10:11" x14ac:dyDescent="0.3">
      <c r="J1105">
        <v>40</v>
      </c>
      <c r="K1105">
        <v>54000</v>
      </c>
    </row>
    <row r="1106" spans="10:11" x14ac:dyDescent="0.3">
      <c r="J1106">
        <v>40</v>
      </c>
      <c r="K1106">
        <v>54000</v>
      </c>
    </row>
    <row r="1107" spans="10:11" x14ac:dyDescent="0.3">
      <c r="J1107">
        <v>40</v>
      </c>
      <c r="K1107">
        <v>57000</v>
      </c>
    </row>
    <row r="1108" spans="10:11" x14ac:dyDescent="0.3">
      <c r="J1108">
        <v>40</v>
      </c>
      <c r="K1108">
        <v>57000</v>
      </c>
    </row>
    <row r="1109" spans="10:11" x14ac:dyDescent="0.3">
      <c r="J1109">
        <v>40</v>
      </c>
      <c r="K1109">
        <v>60000</v>
      </c>
    </row>
    <row r="1110" spans="10:11" x14ac:dyDescent="0.3">
      <c r="J1110">
        <v>40</v>
      </c>
      <c r="K1110">
        <v>60000</v>
      </c>
    </row>
    <row r="1111" spans="10:11" x14ac:dyDescent="0.3">
      <c r="J1111">
        <v>40</v>
      </c>
      <c r="K1111">
        <v>65000</v>
      </c>
    </row>
    <row r="1112" spans="10:11" x14ac:dyDescent="0.3">
      <c r="J1112">
        <v>40</v>
      </c>
      <c r="K1112">
        <v>70000</v>
      </c>
    </row>
    <row r="1113" spans="10:11" x14ac:dyDescent="0.3">
      <c r="J1113">
        <v>40</v>
      </c>
      <c r="K1113">
        <v>72000</v>
      </c>
    </row>
    <row r="1114" spans="10:11" x14ac:dyDescent="0.3">
      <c r="J1114">
        <v>40</v>
      </c>
      <c r="K1114">
        <v>72000</v>
      </c>
    </row>
    <row r="1115" spans="10:11" x14ac:dyDescent="0.3">
      <c r="J1115">
        <v>40</v>
      </c>
      <c r="K1115">
        <v>72000</v>
      </c>
    </row>
    <row r="1116" spans="10:11" x14ac:dyDescent="0.3">
      <c r="J1116">
        <v>40</v>
      </c>
      <c r="K1116">
        <v>75000</v>
      </c>
    </row>
    <row r="1117" spans="10:11" x14ac:dyDescent="0.3">
      <c r="J1117">
        <v>40</v>
      </c>
      <c r="K1117">
        <v>77000</v>
      </c>
    </row>
    <row r="1118" spans="10:11" x14ac:dyDescent="0.3">
      <c r="J1118">
        <v>40</v>
      </c>
      <c r="K1118">
        <v>78000</v>
      </c>
    </row>
    <row r="1119" spans="10:11" x14ac:dyDescent="0.3">
      <c r="J1119">
        <v>40</v>
      </c>
      <c r="K1119">
        <v>80000</v>
      </c>
    </row>
    <row r="1120" spans="10:11" x14ac:dyDescent="0.3">
      <c r="J1120">
        <v>40</v>
      </c>
      <c r="K1120">
        <v>80000</v>
      </c>
    </row>
    <row r="1121" spans="10:11" x14ac:dyDescent="0.3">
      <c r="J1121">
        <v>40</v>
      </c>
      <c r="K1121">
        <v>81000</v>
      </c>
    </row>
    <row r="1122" spans="10:11" x14ac:dyDescent="0.3">
      <c r="J1122">
        <v>40</v>
      </c>
      <c r="K1122">
        <v>85000</v>
      </c>
    </row>
    <row r="1123" spans="10:11" x14ac:dyDescent="0.3">
      <c r="J1123">
        <v>40</v>
      </c>
      <c r="K1123">
        <v>85000</v>
      </c>
    </row>
    <row r="1124" spans="10:11" x14ac:dyDescent="0.3">
      <c r="J1124">
        <v>40</v>
      </c>
      <c r="K1124">
        <v>88000</v>
      </c>
    </row>
    <row r="1125" spans="10:11" x14ac:dyDescent="0.3">
      <c r="J1125">
        <v>40</v>
      </c>
      <c r="K1125">
        <v>89000</v>
      </c>
    </row>
    <row r="1126" spans="10:11" x14ac:dyDescent="0.3">
      <c r="J1126">
        <v>40</v>
      </c>
      <c r="K1126">
        <v>90000</v>
      </c>
    </row>
    <row r="1127" spans="10:11" x14ac:dyDescent="0.3">
      <c r="J1127">
        <v>40</v>
      </c>
      <c r="K1127">
        <v>90000</v>
      </c>
    </row>
    <row r="1128" spans="10:11" x14ac:dyDescent="0.3">
      <c r="J1128">
        <v>40</v>
      </c>
      <c r="K1128">
        <v>90000</v>
      </c>
    </row>
    <row r="1129" spans="10:11" x14ac:dyDescent="0.3">
      <c r="J1129">
        <v>40</v>
      </c>
      <c r="K1129">
        <v>90000</v>
      </c>
    </row>
    <row r="1130" spans="10:11" x14ac:dyDescent="0.3">
      <c r="J1130">
        <v>40</v>
      </c>
      <c r="K1130">
        <v>95000</v>
      </c>
    </row>
    <row r="1131" spans="10:11" x14ac:dyDescent="0.3">
      <c r="J1131">
        <v>40</v>
      </c>
      <c r="K1131">
        <v>100000</v>
      </c>
    </row>
    <row r="1132" spans="10:11" x14ac:dyDescent="0.3">
      <c r="J1132">
        <v>40</v>
      </c>
      <c r="K1132">
        <v>135000</v>
      </c>
    </row>
    <row r="1133" spans="10:11" x14ac:dyDescent="0.3">
      <c r="J1133">
        <v>40</v>
      </c>
      <c r="K1133">
        <v>160000</v>
      </c>
    </row>
    <row r="1134" spans="10:11" x14ac:dyDescent="0.3">
      <c r="J1134">
        <v>40</v>
      </c>
      <c r="K1134">
        <v>250000</v>
      </c>
    </row>
    <row r="1135" spans="10:11" x14ac:dyDescent="0.3">
      <c r="J1135">
        <v>41</v>
      </c>
      <c r="K1135">
        <v>36000</v>
      </c>
    </row>
    <row r="1136" spans="10:11" x14ac:dyDescent="0.3">
      <c r="J1136">
        <v>41</v>
      </c>
      <c r="K1136">
        <v>50000</v>
      </c>
    </row>
    <row r="1137" spans="10:11" x14ac:dyDescent="0.3">
      <c r="J1137">
        <v>41</v>
      </c>
      <c r="K1137">
        <v>58800</v>
      </c>
    </row>
    <row r="1138" spans="10:11" x14ac:dyDescent="0.3">
      <c r="J1138">
        <v>41</v>
      </c>
      <c r="K1138">
        <v>68000</v>
      </c>
    </row>
    <row r="1139" spans="10:11" x14ac:dyDescent="0.3">
      <c r="J1139">
        <v>41</v>
      </c>
      <c r="K1139">
        <v>72000</v>
      </c>
    </row>
    <row r="1140" spans="10:11" x14ac:dyDescent="0.3">
      <c r="J1140">
        <v>41</v>
      </c>
      <c r="K1140">
        <v>75000</v>
      </c>
    </row>
    <row r="1141" spans="10:11" x14ac:dyDescent="0.3">
      <c r="J1141">
        <v>41</v>
      </c>
      <c r="K1141">
        <v>78000</v>
      </c>
    </row>
    <row r="1142" spans="10:11" x14ac:dyDescent="0.3">
      <c r="J1142">
        <v>41</v>
      </c>
      <c r="K1142">
        <v>80000</v>
      </c>
    </row>
    <row r="1143" spans="10:11" x14ac:dyDescent="0.3">
      <c r="J1143">
        <v>41</v>
      </c>
      <c r="K1143">
        <v>93000</v>
      </c>
    </row>
    <row r="1144" spans="10:11" x14ac:dyDescent="0.3">
      <c r="J1144">
        <v>41</v>
      </c>
      <c r="K1144">
        <v>95500</v>
      </c>
    </row>
    <row r="1145" spans="10:11" x14ac:dyDescent="0.3">
      <c r="J1145">
        <v>41</v>
      </c>
      <c r="K1145">
        <v>99000</v>
      </c>
    </row>
    <row r="1146" spans="10:11" x14ac:dyDescent="0.3">
      <c r="J1146">
        <v>41</v>
      </c>
      <c r="K1146">
        <v>100000</v>
      </c>
    </row>
    <row r="1147" spans="10:11" x14ac:dyDescent="0.3">
      <c r="J1147">
        <v>41</v>
      </c>
      <c r="K1147">
        <v>120000</v>
      </c>
    </row>
    <row r="1148" spans="10:11" x14ac:dyDescent="0.3">
      <c r="J1148">
        <v>41</v>
      </c>
      <c r="K1148">
        <v>123600</v>
      </c>
    </row>
    <row r="1149" spans="10:11" x14ac:dyDescent="0.3">
      <c r="J1149">
        <v>42</v>
      </c>
      <c r="K1149">
        <v>36000</v>
      </c>
    </row>
    <row r="1150" spans="10:11" x14ac:dyDescent="0.3">
      <c r="J1150">
        <v>42</v>
      </c>
      <c r="K1150">
        <v>42000</v>
      </c>
    </row>
    <row r="1151" spans="10:11" x14ac:dyDescent="0.3">
      <c r="J1151">
        <v>42</v>
      </c>
      <c r="K1151">
        <v>46000</v>
      </c>
    </row>
    <row r="1152" spans="10:11" x14ac:dyDescent="0.3">
      <c r="J1152">
        <v>42</v>
      </c>
      <c r="K1152">
        <v>47500</v>
      </c>
    </row>
    <row r="1153" spans="10:11" x14ac:dyDescent="0.3">
      <c r="J1153">
        <v>42</v>
      </c>
      <c r="K1153">
        <v>53000</v>
      </c>
    </row>
    <row r="1154" spans="10:11" x14ac:dyDescent="0.3">
      <c r="J1154">
        <v>42</v>
      </c>
      <c r="K1154">
        <v>55000</v>
      </c>
    </row>
    <row r="1155" spans="10:11" x14ac:dyDescent="0.3">
      <c r="J1155">
        <v>42</v>
      </c>
      <c r="K1155">
        <v>65000</v>
      </c>
    </row>
    <row r="1156" spans="10:11" x14ac:dyDescent="0.3">
      <c r="J1156">
        <v>42</v>
      </c>
      <c r="K1156">
        <v>66000</v>
      </c>
    </row>
    <row r="1157" spans="10:11" x14ac:dyDescent="0.3">
      <c r="J1157">
        <v>42</v>
      </c>
      <c r="K1157">
        <v>70000</v>
      </c>
    </row>
    <row r="1158" spans="10:11" x14ac:dyDescent="0.3">
      <c r="J1158">
        <v>42</v>
      </c>
      <c r="K1158">
        <v>70000</v>
      </c>
    </row>
    <row r="1159" spans="10:11" x14ac:dyDescent="0.3">
      <c r="J1159">
        <v>42</v>
      </c>
      <c r="K1159">
        <v>75000</v>
      </c>
    </row>
    <row r="1160" spans="10:11" x14ac:dyDescent="0.3">
      <c r="J1160">
        <v>42</v>
      </c>
      <c r="K1160">
        <v>75000</v>
      </c>
    </row>
    <row r="1161" spans="10:11" x14ac:dyDescent="0.3">
      <c r="J1161">
        <v>42</v>
      </c>
      <c r="K1161">
        <v>80000</v>
      </c>
    </row>
    <row r="1162" spans="10:11" x14ac:dyDescent="0.3">
      <c r="J1162">
        <v>42</v>
      </c>
      <c r="K1162">
        <v>80000</v>
      </c>
    </row>
    <row r="1163" spans="10:11" x14ac:dyDescent="0.3">
      <c r="J1163">
        <v>42</v>
      </c>
      <c r="K1163">
        <v>80000</v>
      </c>
    </row>
    <row r="1164" spans="10:11" x14ac:dyDescent="0.3">
      <c r="J1164">
        <v>42</v>
      </c>
      <c r="K1164">
        <v>95000</v>
      </c>
    </row>
    <row r="1165" spans="10:11" x14ac:dyDescent="0.3">
      <c r="J1165">
        <v>42</v>
      </c>
      <c r="K1165">
        <v>95000</v>
      </c>
    </row>
    <row r="1166" spans="10:11" x14ac:dyDescent="0.3">
      <c r="J1166">
        <v>42</v>
      </c>
      <c r="K1166">
        <v>95000</v>
      </c>
    </row>
    <row r="1167" spans="10:11" x14ac:dyDescent="0.3">
      <c r="J1167">
        <v>42</v>
      </c>
      <c r="K1167">
        <v>95000</v>
      </c>
    </row>
    <row r="1168" spans="10:11" x14ac:dyDescent="0.3">
      <c r="J1168">
        <v>43</v>
      </c>
      <c r="K1168">
        <v>57600</v>
      </c>
    </row>
    <row r="1169" spans="10:11" x14ac:dyDescent="0.3">
      <c r="J1169">
        <v>43</v>
      </c>
      <c r="K1169">
        <v>64000</v>
      </c>
    </row>
    <row r="1170" spans="10:11" x14ac:dyDescent="0.3">
      <c r="J1170">
        <v>43</v>
      </c>
      <c r="K1170">
        <v>70000</v>
      </c>
    </row>
    <row r="1171" spans="10:11" x14ac:dyDescent="0.3">
      <c r="J1171">
        <v>43</v>
      </c>
      <c r="K1171">
        <v>72000</v>
      </c>
    </row>
    <row r="1172" spans="10:11" x14ac:dyDescent="0.3">
      <c r="J1172">
        <v>43</v>
      </c>
      <c r="K1172">
        <v>72000</v>
      </c>
    </row>
    <row r="1173" spans="10:11" x14ac:dyDescent="0.3">
      <c r="J1173">
        <v>43</v>
      </c>
      <c r="K1173">
        <v>79000</v>
      </c>
    </row>
    <row r="1174" spans="10:11" x14ac:dyDescent="0.3">
      <c r="J1174">
        <v>43</v>
      </c>
      <c r="K1174">
        <v>82000</v>
      </c>
    </row>
    <row r="1175" spans="10:11" x14ac:dyDescent="0.3">
      <c r="J1175">
        <v>43</v>
      </c>
      <c r="K1175">
        <v>83000</v>
      </c>
    </row>
    <row r="1176" spans="10:11" x14ac:dyDescent="0.3">
      <c r="J1176">
        <v>43</v>
      </c>
      <c r="K1176">
        <v>105000</v>
      </c>
    </row>
    <row r="1177" spans="10:11" x14ac:dyDescent="0.3">
      <c r="J1177">
        <v>43</v>
      </c>
      <c r="K1177">
        <v>115000</v>
      </c>
    </row>
    <row r="1178" spans="10:11" x14ac:dyDescent="0.3">
      <c r="J1178">
        <v>44</v>
      </c>
      <c r="K1178">
        <v>45000</v>
      </c>
    </row>
    <row r="1179" spans="10:11" x14ac:dyDescent="0.3">
      <c r="J1179">
        <v>44</v>
      </c>
      <c r="K1179">
        <v>60000</v>
      </c>
    </row>
    <row r="1180" spans="10:11" x14ac:dyDescent="0.3">
      <c r="J1180">
        <v>44</v>
      </c>
      <c r="K1180">
        <v>68000</v>
      </c>
    </row>
    <row r="1181" spans="10:11" x14ac:dyDescent="0.3">
      <c r="J1181">
        <v>44</v>
      </c>
      <c r="K1181">
        <v>72000</v>
      </c>
    </row>
    <row r="1182" spans="10:11" x14ac:dyDescent="0.3">
      <c r="J1182">
        <v>44</v>
      </c>
      <c r="K1182">
        <v>75000</v>
      </c>
    </row>
    <row r="1183" spans="10:11" x14ac:dyDescent="0.3">
      <c r="J1183">
        <v>44</v>
      </c>
      <c r="K1183">
        <v>76000</v>
      </c>
    </row>
    <row r="1184" spans="10:11" x14ac:dyDescent="0.3">
      <c r="J1184">
        <v>44</v>
      </c>
      <c r="K1184">
        <v>78500</v>
      </c>
    </row>
    <row r="1185" spans="10:11" x14ac:dyDescent="0.3">
      <c r="J1185">
        <v>44</v>
      </c>
      <c r="K1185">
        <v>95000</v>
      </c>
    </row>
    <row r="1186" spans="10:11" x14ac:dyDescent="0.3">
      <c r="J1186">
        <v>45</v>
      </c>
      <c r="K1186">
        <v>42000</v>
      </c>
    </row>
    <row r="1187" spans="10:11" x14ac:dyDescent="0.3">
      <c r="J1187">
        <v>45</v>
      </c>
      <c r="K1187">
        <v>52000</v>
      </c>
    </row>
    <row r="1188" spans="10:11" x14ac:dyDescent="0.3">
      <c r="J1188">
        <v>45</v>
      </c>
      <c r="K1188">
        <v>55000</v>
      </c>
    </row>
    <row r="1189" spans="10:11" x14ac:dyDescent="0.3">
      <c r="J1189">
        <v>45</v>
      </c>
      <c r="K1189">
        <v>55000</v>
      </c>
    </row>
    <row r="1190" spans="10:11" x14ac:dyDescent="0.3">
      <c r="J1190">
        <v>45</v>
      </c>
      <c r="K1190">
        <v>70000</v>
      </c>
    </row>
    <row r="1191" spans="10:11" x14ac:dyDescent="0.3">
      <c r="J1191">
        <v>45</v>
      </c>
      <c r="K1191">
        <v>75000</v>
      </c>
    </row>
    <row r="1192" spans="10:11" x14ac:dyDescent="0.3">
      <c r="J1192">
        <v>45</v>
      </c>
      <c r="K1192">
        <v>77000</v>
      </c>
    </row>
    <row r="1193" spans="10:11" x14ac:dyDescent="0.3">
      <c r="J1193">
        <v>45</v>
      </c>
      <c r="K1193">
        <v>90000</v>
      </c>
    </row>
    <row r="1194" spans="10:11" x14ac:dyDescent="0.3">
      <c r="J1194">
        <v>45</v>
      </c>
      <c r="K1194">
        <v>90000</v>
      </c>
    </row>
    <row r="1195" spans="10:11" x14ac:dyDescent="0.3">
      <c r="J1195">
        <v>45</v>
      </c>
      <c r="K1195">
        <v>93000</v>
      </c>
    </row>
    <row r="1196" spans="10:11" x14ac:dyDescent="0.3">
      <c r="J1196">
        <v>45</v>
      </c>
      <c r="K1196">
        <v>200000</v>
      </c>
    </row>
    <row r="1197" spans="10:11" x14ac:dyDescent="0.3">
      <c r="J1197">
        <v>46</v>
      </c>
      <c r="K1197">
        <v>68500</v>
      </c>
    </row>
    <row r="1198" spans="10:11" x14ac:dyDescent="0.3">
      <c r="J1198">
        <v>46</v>
      </c>
      <c r="K1198">
        <v>70000</v>
      </c>
    </row>
    <row r="1199" spans="10:11" x14ac:dyDescent="0.3">
      <c r="J1199">
        <v>46</v>
      </c>
      <c r="K1199">
        <v>70000</v>
      </c>
    </row>
    <row r="1200" spans="10:11" x14ac:dyDescent="0.3">
      <c r="J1200">
        <v>46</v>
      </c>
      <c r="K1200">
        <v>80000</v>
      </c>
    </row>
    <row r="1201" spans="10:11" x14ac:dyDescent="0.3">
      <c r="J1201">
        <v>46</v>
      </c>
      <c r="K1201">
        <v>80000</v>
      </c>
    </row>
    <row r="1202" spans="10:11" x14ac:dyDescent="0.3">
      <c r="J1202">
        <v>46</v>
      </c>
      <c r="K1202">
        <v>82000</v>
      </c>
    </row>
    <row r="1203" spans="10:11" x14ac:dyDescent="0.3">
      <c r="J1203">
        <v>46</v>
      </c>
      <c r="K1203">
        <v>85000</v>
      </c>
    </row>
    <row r="1204" spans="10:11" x14ac:dyDescent="0.3">
      <c r="J1204">
        <v>46</v>
      </c>
      <c r="K1204">
        <v>90000</v>
      </c>
    </row>
    <row r="1205" spans="10:11" x14ac:dyDescent="0.3">
      <c r="J1205">
        <v>47</v>
      </c>
      <c r="K1205">
        <v>46000</v>
      </c>
    </row>
    <row r="1206" spans="10:11" x14ac:dyDescent="0.3">
      <c r="J1206">
        <v>47</v>
      </c>
      <c r="K1206">
        <v>70000</v>
      </c>
    </row>
    <row r="1207" spans="10:11" x14ac:dyDescent="0.3">
      <c r="J1207">
        <v>47</v>
      </c>
      <c r="K1207">
        <v>75000</v>
      </c>
    </row>
    <row r="1208" spans="10:11" x14ac:dyDescent="0.3">
      <c r="J1208">
        <v>48</v>
      </c>
      <c r="K1208">
        <v>30000</v>
      </c>
    </row>
    <row r="1209" spans="10:11" x14ac:dyDescent="0.3">
      <c r="J1209">
        <v>48</v>
      </c>
      <c r="K1209">
        <v>68500</v>
      </c>
    </row>
    <row r="1210" spans="10:11" x14ac:dyDescent="0.3">
      <c r="J1210">
        <v>48</v>
      </c>
      <c r="K1210">
        <v>75000</v>
      </c>
    </row>
    <row r="1211" spans="10:11" x14ac:dyDescent="0.3">
      <c r="J1211">
        <v>48</v>
      </c>
      <c r="K1211">
        <v>110000</v>
      </c>
    </row>
    <row r="1212" spans="10:11" x14ac:dyDescent="0.3">
      <c r="J1212">
        <v>49</v>
      </c>
      <c r="K1212">
        <v>57000</v>
      </c>
    </row>
    <row r="1213" spans="10:11" x14ac:dyDescent="0.3">
      <c r="J1213">
        <v>49</v>
      </c>
      <c r="K1213">
        <v>67000</v>
      </c>
    </row>
    <row r="1214" spans="10:11" x14ac:dyDescent="0.3">
      <c r="J1214">
        <v>50</v>
      </c>
      <c r="K1214">
        <v>28800</v>
      </c>
    </row>
    <row r="1215" spans="10:11" x14ac:dyDescent="0.3">
      <c r="J1215">
        <v>51</v>
      </c>
      <c r="K1215">
        <v>60000</v>
      </c>
    </row>
    <row r="1216" spans="10:11" x14ac:dyDescent="0.3">
      <c r="J1216">
        <v>52</v>
      </c>
      <c r="K1216">
        <v>100000</v>
      </c>
    </row>
    <row r="1217" spans="10:11" x14ac:dyDescent="0.3">
      <c r="J1217">
        <v>53</v>
      </c>
      <c r="K1217">
        <v>50000</v>
      </c>
    </row>
    <row r="1218" spans="10:11" x14ac:dyDescent="0.3">
      <c r="J1218">
        <v>54</v>
      </c>
      <c r="K1218">
        <v>75000</v>
      </c>
    </row>
    <row r="1219" spans="10:11" x14ac:dyDescent="0.3">
      <c r="J1219">
        <v>54</v>
      </c>
      <c r="K1219">
        <v>110000</v>
      </c>
    </row>
    <row r="1220" spans="10:11" x14ac:dyDescent="0.3">
      <c r="J1220">
        <v>56</v>
      </c>
      <c r="K1220">
        <v>75000</v>
      </c>
    </row>
    <row r="1221" spans="10:11" x14ac:dyDescent="0.3">
      <c r="J1221">
        <v>56</v>
      </c>
      <c r="K1221">
        <v>110000</v>
      </c>
    </row>
    <row r="1222" spans="10:11" x14ac:dyDescent="0.3">
      <c r="J1222">
        <v>59</v>
      </c>
      <c r="K1222">
        <v>69000</v>
      </c>
    </row>
    <row r="1223" spans="10:11" x14ac:dyDescent="0.3">
      <c r="J1223">
        <v>65</v>
      </c>
      <c r="K1223">
        <v>55000</v>
      </c>
    </row>
    <row r="1224" spans="10:11" x14ac:dyDescent="0.3">
      <c r="J1224">
        <v>66</v>
      </c>
      <c r="K1224">
        <v>70000</v>
      </c>
    </row>
    <row r="1225" spans="10:11" x14ac:dyDescent="0.3">
      <c r="J1225">
        <v>69</v>
      </c>
      <c r="K1225">
        <v>70000</v>
      </c>
    </row>
  </sheetData>
  <mergeCells count="2">
    <mergeCell ref="A1:I2"/>
    <mergeCell ref="B7:H8"/>
  </mergeCells>
  <pageMargins left="0.511811024" right="0.511811024" top="0.78740157499999996" bottom="0.78740157499999996" header="0.31496062000000002" footer="0.31496062000000002"/>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8E63-13D8-4687-A6E4-43BCB715C5BE}">
  <dimension ref="A1:Q1240"/>
  <sheetViews>
    <sheetView showGridLines="0" topLeftCell="A22" workbookViewId="0">
      <selection sqref="A1:J1"/>
    </sheetView>
  </sheetViews>
  <sheetFormatPr defaultRowHeight="14.4" x14ac:dyDescent="0.3"/>
  <cols>
    <col min="7" max="8" width="12" bestFit="1" customWidth="1"/>
    <col min="14" max="14" width="46.6640625" customWidth="1"/>
  </cols>
  <sheetData>
    <row r="1" spans="1:17" ht="29.4" customHeight="1" x14ac:dyDescent="0.3">
      <c r="A1" s="150" t="s">
        <v>511</v>
      </c>
      <c r="B1" s="150"/>
      <c r="C1" s="150"/>
      <c r="D1" s="150"/>
      <c r="E1" s="150"/>
      <c r="F1" s="150"/>
      <c r="G1" s="150"/>
      <c r="H1" s="150"/>
      <c r="I1" s="150"/>
      <c r="J1" s="150"/>
      <c r="M1" t="s">
        <v>1</v>
      </c>
      <c r="N1" t="s">
        <v>8</v>
      </c>
      <c r="P1" s="157" t="s">
        <v>516</v>
      </c>
      <c r="Q1" s="157"/>
    </row>
    <row r="2" spans="1:17" x14ac:dyDescent="0.3">
      <c r="M2" t="s">
        <v>33</v>
      </c>
      <c r="N2">
        <v>108000</v>
      </c>
      <c r="P2" s="157"/>
      <c r="Q2" s="157"/>
    </row>
    <row r="3" spans="1:17" x14ac:dyDescent="0.3">
      <c r="M3" t="s">
        <v>33</v>
      </c>
      <c r="N3">
        <v>108000</v>
      </c>
      <c r="P3" s="132" t="s">
        <v>33</v>
      </c>
      <c r="Q3" s="133" t="s">
        <v>13</v>
      </c>
    </row>
    <row r="4" spans="1:17" x14ac:dyDescent="0.3">
      <c r="M4" t="s">
        <v>33</v>
      </c>
      <c r="N4">
        <v>93000</v>
      </c>
      <c r="P4" s="3">
        <v>108000</v>
      </c>
      <c r="Q4" s="4">
        <v>300000</v>
      </c>
    </row>
    <row r="5" spans="1:17" x14ac:dyDescent="0.3">
      <c r="M5" t="s">
        <v>33</v>
      </c>
      <c r="N5">
        <v>88000</v>
      </c>
      <c r="P5" s="4">
        <v>108000</v>
      </c>
      <c r="Q5" s="3">
        <v>250000</v>
      </c>
    </row>
    <row r="6" spans="1:17" x14ac:dyDescent="0.3">
      <c r="B6" s="94" t="s">
        <v>430</v>
      </c>
      <c r="C6" s="94" t="s">
        <v>513</v>
      </c>
      <c r="D6" s="94" t="s">
        <v>482</v>
      </c>
      <c r="E6" s="94" t="s">
        <v>483</v>
      </c>
      <c r="F6" s="94" t="s">
        <v>514</v>
      </c>
      <c r="G6" s="94" t="s">
        <v>515</v>
      </c>
      <c r="H6" s="95" t="s">
        <v>515</v>
      </c>
      <c r="I6" s="94" t="s">
        <v>517</v>
      </c>
      <c r="M6" t="s">
        <v>33</v>
      </c>
      <c r="N6">
        <v>87000</v>
      </c>
      <c r="P6" s="3">
        <v>93000</v>
      </c>
      <c r="Q6" s="4">
        <v>240000</v>
      </c>
    </row>
    <row r="7" spans="1:17" x14ac:dyDescent="0.3">
      <c r="B7" s="96" t="s">
        <v>431</v>
      </c>
      <c r="C7" s="49">
        <f>COUNTIF(Tabela4[[#All],[Gender]],"Male")</f>
        <v>1048</v>
      </c>
      <c r="D7" s="49">
        <f>AVERAGE(N193:N1240)</f>
        <v>73106.456230916025</v>
      </c>
      <c r="E7" s="49">
        <f>MEDIAN(N193:N1240)</f>
        <v>70000</v>
      </c>
      <c r="F7" s="49">
        <f>_xlfn.STDEV.P(N193:N1240)</f>
        <v>24876.388155843881</v>
      </c>
      <c r="G7" s="49">
        <f>_xlfn.VAR.P(N193:N1240)</f>
        <v>618834687.68020964</v>
      </c>
      <c r="H7" s="158">
        <f>(G7*C7+G8*C8)/C9</f>
        <v>555624304.5194453</v>
      </c>
      <c r="I7" s="158">
        <f xml:space="preserve"> 1 - (H7/G9)</f>
        <v>4.6945066685262438E-2</v>
      </c>
      <c r="M7" t="s">
        <v>33</v>
      </c>
      <c r="N7">
        <v>86000</v>
      </c>
      <c r="P7" s="4">
        <v>88000</v>
      </c>
      <c r="Q7" s="3">
        <v>200000</v>
      </c>
    </row>
    <row r="8" spans="1:17" x14ac:dyDescent="0.3">
      <c r="B8" s="96" t="s">
        <v>432</v>
      </c>
      <c r="C8" s="49">
        <f>COUNTIF(Tabela4[[#All],[Gender]],"Female")</f>
        <v>191</v>
      </c>
      <c r="D8" s="49">
        <f>AVERAGE(N2:N192)</f>
        <v>58618.71727748691</v>
      </c>
      <c r="E8" s="49">
        <f>MEDIAN(N2:N192)</f>
        <v>60000</v>
      </c>
      <c r="F8" s="49">
        <f>_xlfn.STDEV.P(N2:N192)</f>
        <v>14449.725193628316</v>
      </c>
      <c r="G8" s="49">
        <f>_xlfn.VAR.P(N2:N192)</f>
        <v>208794558.17137688</v>
      </c>
      <c r="H8" s="158"/>
      <c r="I8" s="158"/>
      <c r="M8" t="s">
        <v>33</v>
      </c>
      <c r="N8">
        <v>85600</v>
      </c>
      <c r="P8" s="3">
        <v>87000</v>
      </c>
      <c r="Q8" s="4">
        <v>200000</v>
      </c>
    </row>
    <row r="9" spans="1:17" x14ac:dyDescent="0.3">
      <c r="B9" s="96" t="s">
        <v>425</v>
      </c>
      <c r="C9" s="49">
        <f>SUM(C7:C8)</f>
        <v>1239</v>
      </c>
      <c r="D9" s="49">
        <f>AVERAGE(Tabela4[Yearly brutto salary (without bonus and stocks) in EUR])</f>
        <v>70873.075972558509</v>
      </c>
      <c r="E9" s="49">
        <f>MEDIAN(Tabela4[Yearly brutto salary (without bonus and stocks) in EUR])</f>
        <v>70000</v>
      </c>
      <c r="F9" s="49">
        <f>_xlfn.STDEV.P(Tabela4[Yearly brutto salary (without bonus and stocks) in EUR])</f>
        <v>24145.246888525493</v>
      </c>
      <c r="G9" s="49">
        <f>_xlfn.VAR.P(Tabela4[Yearly brutto salary (without bonus and stocks) in EUR])</f>
        <v>582992947.30785</v>
      </c>
      <c r="H9" s="158"/>
      <c r="I9" s="158"/>
      <c r="M9" t="s">
        <v>33</v>
      </c>
      <c r="N9">
        <v>85000</v>
      </c>
      <c r="P9" s="4">
        <v>86000</v>
      </c>
      <c r="Q9" s="3">
        <v>200000</v>
      </c>
    </row>
    <row r="10" spans="1:17" x14ac:dyDescent="0.3">
      <c r="M10" t="s">
        <v>33</v>
      </c>
      <c r="N10">
        <v>85000</v>
      </c>
      <c r="P10" s="3">
        <v>85600</v>
      </c>
      <c r="Q10" s="4">
        <v>200000</v>
      </c>
    </row>
    <row r="11" spans="1:17" x14ac:dyDescent="0.3">
      <c r="M11" t="s">
        <v>33</v>
      </c>
      <c r="N11">
        <v>85000</v>
      </c>
      <c r="P11" s="4">
        <v>85000</v>
      </c>
      <c r="Q11" s="3">
        <v>180000</v>
      </c>
    </row>
    <row r="12" spans="1:17" x14ac:dyDescent="0.3">
      <c r="M12" t="s">
        <v>33</v>
      </c>
      <c r="N12">
        <v>80000</v>
      </c>
      <c r="P12" s="3">
        <v>85000</v>
      </c>
      <c r="Q12" s="4">
        <v>180000</v>
      </c>
    </row>
    <row r="13" spans="1:17" x14ac:dyDescent="0.3">
      <c r="M13" t="s">
        <v>33</v>
      </c>
      <c r="N13">
        <v>80000</v>
      </c>
      <c r="P13" s="4">
        <v>85000</v>
      </c>
      <c r="Q13" s="3">
        <v>172000</v>
      </c>
    </row>
    <row r="14" spans="1:17" x14ac:dyDescent="0.3">
      <c r="M14" t="s">
        <v>33</v>
      </c>
      <c r="N14">
        <v>80000</v>
      </c>
      <c r="P14" s="3">
        <v>80000</v>
      </c>
      <c r="Q14" s="4">
        <v>160000</v>
      </c>
    </row>
    <row r="15" spans="1:17" x14ac:dyDescent="0.3">
      <c r="M15" t="s">
        <v>33</v>
      </c>
      <c r="N15">
        <v>78000</v>
      </c>
      <c r="P15" s="4">
        <v>80000</v>
      </c>
      <c r="Q15" s="3">
        <v>156000</v>
      </c>
    </row>
    <row r="16" spans="1:17" x14ac:dyDescent="0.3">
      <c r="M16" t="s">
        <v>33</v>
      </c>
      <c r="N16">
        <v>77000</v>
      </c>
      <c r="P16" s="3">
        <v>80000</v>
      </c>
      <c r="Q16" s="4">
        <v>154000</v>
      </c>
    </row>
    <row r="17" spans="13:17" x14ac:dyDescent="0.3">
      <c r="M17" t="s">
        <v>33</v>
      </c>
      <c r="N17">
        <v>76000</v>
      </c>
      <c r="P17" s="4">
        <v>78000</v>
      </c>
      <c r="Q17" s="3">
        <v>151872</v>
      </c>
    </row>
    <row r="18" spans="13:17" x14ac:dyDescent="0.3">
      <c r="M18" t="s">
        <v>33</v>
      </c>
      <c r="N18">
        <v>76000</v>
      </c>
      <c r="P18" s="3">
        <v>77000</v>
      </c>
      <c r="Q18" s="4">
        <v>150000</v>
      </c>
    </row>
    <row r="19" spans="13:17" x14ac:dyDescent="0.3">
      <c r="M19" t="s">
        <v>33</v>
      </c>
      <c r="N19">
        <v>75000</v>
      </c>
      <c r="P19" s="4">
        <v>76000</v>
      </c>
      <c r="Q19" s="3">
        <v>150000</v>
      </c>
    </row>
    <row r="20" spans="13:17" x14ac:dyDescent="0.3">
      <c r="M20" t="s">
        <v>33</v>
      </c>
      <c r="N20">
        <v>75000</v>
      </c>
      <c r="P20" s="3">
        <v>76000</v>
      </c>
      <c r="Q20" s="4">
        <v>150000</v>
      </c>
    </row>
    <row r="21" spans="13:17" x14ac:dyDescent="0.3">
      <c r="M21" t="s">
        <v>33</v>
      </c>
      <c r="N21">
        <v>75000</v>
      </c>
      <c r="P21" s="4">
        <v>75000</v>
      </c>
      <c r="Q21" s="3">
        <v>150000</v>
      </c>
    </row>
    <row r="22" spans="13:17" x14ac:dyDescent="0.3">
      <c r="M22" t="s">
        <v>33</v>
      </c>
      <c r="N22">
        <v>75000</v>
      </c>
      <c r="P22" s="3">
        <v>75000</v>
      </c>
      <c r="Q22" s="4">
        <v>150000</v>
      </c>
    </row>
    <row r="23" spans="13:17" x14ac:dyDescent="0.3">
      <c r="M23" t="s">
        <v>33</v>
      </c>
      <c r="N23">
        <v>75000</v>
      </c>
      <c r="P23" s="4">
        <v>75000</v>
      </c>
      <c r="Q23" s="3">
        <v>140000</v>
      </c>
    </row>
    <row r="24" spans="13:17" x14ac:dyDescent="0.3">
      <c r="M24" t="s">
        <v>33</v>
      </c>
      <c r="N24">
        <v>75000</v>
      </c>
      <c r="P24" s="3">
        <v>75000</v>
      </c>
      <c r="Q24" s="4">
        <v>140000</v>
      </c>
    </row>
    <row r="25" spans="13:17" x14ac:dyDescent="0.3">
      <c r="M25" t="s">
        <v>33</v>
      </c>
      <c r="N25">
        <v>75000</v>
      </c>
      <c r="P25" s="4">
        <v>75000</v>
      </c>
      <c r="Q25" s="3">
        <v>135000</v>
      </c>
    </row>
    <row r="26" spans="13:17" x14ac:dyDescent="0.3">
      <c r="M26" t="s">
        <v>33</v>
      </c>
      <c r="N26">
        <v>75000</v>
      </c>
      <c r="P26" s="3">
        <v>75000</v>
      </c>
      <c r="Q26" s="4">
        <v>130000</v>
      </c>
    </row>
    <row r="27" spans="13:17" x14ac:dyDescent="0.3">
      <c r="M27" t="s">
        <v>33</v>
      </c>
      <c r="N27">
        <v>74000</v>
      </c>
      <c r="P27" s="4">
        <v>75000</v>
      </c>
      <c r="Q27" s="3">
        <v>130000</v>
      </c>
    </row>
    <row r="28" spans="13:17" x14ac:dyDescent="0.3">
      <c r="M28" t="s">
        <v>33</v>
      </c>
      <c r="N28">
        <v>73700</v>
      </c>
      <c r="P28" s="3">
        <v>75000</v>
      </c>
      <c r="Q28" s="4">
        <v>130000</v>
      </c>
    </row>
    <row r="29" spans="13:17" x14ac:dyDescent="0.3">
      <c r="M29" t="s">
        <v>33</v>
      </c>
      <c r="N29">
        <v>70500</v>
      </c>
      <c r="P29" s="4">
        <v>74000</v>
      </c>
      <c r="Q29" s="3">
        <v>130000</v>
      </c>
    </row>
    <row r="30" spans="13:17" x14ac:dyDescent="0.3">
      <c r="M30" t="s">
        <v>33</v>
      </c>
      <c r="N30">
        <v>70000</v>
      </c>
      <c r="P30" s="3">
        <v>73700</v>
      </c>
      <c r="Q30" s="4">
        <v>130000</v>
      </c>
    </row>
    <row r="31" spans="13:17" x14ac:dyDescent="0.3">
      <c r="M31" t="s">
        <v>33</v>
      </c>
      <c r="N31">
        <v>70000</v>
      </c>
      <c r="P31" s="4">
        <v>70500</v>
      </c>
      <c r="Q31" s="3">
        <v>124000</v>
      </c>
    </row>
    <row r="32" spans="13:17" x14ac:dyDescent="0.3">
      <c r="M32" t="s">
        <v>33</v>
      </c>
      <c r="N32">
        <v>70000</v>
      </c>
      <c r="P32" s="3">
        <v>70000</v>
      </c>
      <c r="Q32" s="4">
        <v>123600</v>
      </c>
    </row>
    <row r="33" spans="13:17" x14ac:dyDescent="0.3">
      <c r="M33" t="s">
        <v>33</v>
      </c>
      <c r="N33">
        <v>70000</v>
      </c>
      <c r="P33" s="4">
        <v>70000</v>
      </c>
      <c r="Q33" s="3">
        <v>122000</v>
      </c>
    </row>
    <row r="34" spans="13:17" x14ac:dyDescent="0.3">
      <c r="M34" t="s">
        <v>33</v>
      </c>
      <c r="N34">
        <v>70000</v>
      </c>
      <c r="P34" s="3">
        <v>70000</v>
      </c>
      <c r="Q34" s="4">
        <v>120000</v>
      </c>
    </row>
    <row r="35" spans="13:17" x14ac:dyDescent="0.3">
      <c r="M35" t="s">
        <v>33</v>
      </c>
      <c r="N35">
        <v>70000</v>
      </c>
      <c r="P35" s="4">
        <v>70000</v>
      </c>
      <c r="Q35" s="3">
        <v>120000</v>
      </c>
    </row>
    <row r="36" spans="13:17" x14ac:dyDescent="0.3">
      <c r="M36" t="s">
        <v>33</v>
      </c>
      <c r="N36">
        <v>70000</v>
      </c>
      <c r="P36" s="3">
        <v>70000</v>
      </c>
      <c r="Q36" s="4">
        <v>120000</v>
      </c>
    </row>
    <row r="37" spans="13:17" x14ac:dyDescent="0.3">
      <c r="M37" t="s">
        <v>33</v>
      </c>
      <c r="N37">
        <v>70000</v>
      </c>
      <c r="P37" s="4">
        <v>70000</v>
      </c>
      <c r="Q37" s="3">
        <v>120000</v>
      </c>
    </row>
    <row r="38" spans="13:17" x14ac:dyDescent="0.3">
      <c r="M38" t="s">
        <v>33</v>
      </c>
      <c r="N38">
        <v>70000</v>
      </c>
      <c r="P38" s="3">
        <v>70000</v>
      </c>
      <c r="Q38" s="4">
        <v>120000</v>
      </c>
    </row>
    <row r="39" spans="13:17" x14ac:dyDescent="0.3">
      <c r="M39" t="s">
        <v>33</v>
      </c>
      <c r="N39">
        <v>70000</v>
      </c>
      <c r="P39" s="4">
        <v>70000</v>
      </c>
      <c r="Q39" s="3">
        <v>120000</v>
      </c>
    </row>
    <row r="40" spans="13:17" x14ac:dyDescent="0.3">
      <c r="M40" t="s">
        <v>33</v>
      </c>
      <c r="N40">
        <v>70000</v>
      </c>
      <c r="P40" s="3">
        <v>70000</v>
      </c>
      <c r="Q40" s="4">
        <v>120000</v>
      </c>
    </row>
    <row r="41" spans="13:17" x14ac:dyDescent="0.3">
      <c r="M41" t="s">
        <v>33</v>
      </c>
      <c r="N41">
        <v>69000</v>
      </c>
      <c r="P41" s="4">
        <v>70000</v>
      </c>
      <c r="Q41" s="3">
        <v>120000</v>
      </c>
    </row>
    <row r="42" spans="13:17" x14ac:dyDescent="0.3">
      <c r="M42" t="s">
        <v>33</v>
      </c>
      <c r="N42">
        <v>68000</v>
      </c>
      <c r="P42" s="3">
        <v>70000</v>
      </c>
      <c r="Q42" s="4">
        <v>120000</v>
      </c>
    </row>
    <row r="43" spans="13:17" x14ac:dyDescent="0.3">
      <c r="M43" t="s">
        <v>33</v>
      </c>
      <c r="N43">
        <v>68000</v>
      </c>
      <c r="P43" s="4">
        <v>69000</v>
      </c>
      <c r="Q43" s="3">
        <v>120000</v>
      </c>
    </row>
    <row r="44" spans="13:17" x14ac:dyDescent="0.3">
      <c r="M44" t="s">
        <v>33</v>
      </c>
      <c r="N44">
        <v>68000</v>
      </c>
      <c r="P44" s="3">
        <v>68000</v>
      </c>
      <c r="Q44" s="4">
        <v>120000</v>
      </c>
    </row>
    <row r="45" spans="13:17" x14ac:dyDescent="0.3">
      <c r="M45" t="s">
        <v>33</v>
      </c>
      <c r="N45">
        <v>67500</v>
      </c>
      <c r="P45" s="4">
        <v>68000</v>
      </c>
      <c r="Q45" s="3">
        <v>115000</v>
      </c>
    </row>
    <row r="46" spans="13:17" x14ac:dyDescent="0.3">
      <c r="M46" t="s">
        <v>33</v>
      </c>
      <c r="N46">
        <v>67000</v>
      </c>
      <c r="P46" s="3">
        <v>68000</v>
      </c>
      <c r="Q46" s="4">
        <v>115000</v>
      </c>
    </row>
    <row r="47" spans="13:17" x14ac:dyDescent="0.3">
      <c r="M47" t="s">
        <v>33</v>
      </c>
      <c r="N47">
        <v>67000</v>
      </c>
      <c r="P47" s="4">
        <v>67500</v>
      </c>
      <c r="Q47" s="3">
        <v>115000</v>
      </c>
    </row>
    <row r="48" spans="13:17" x14ac:dyDescent="0.3">
      <c r="M48" t="s">
        <v>33</v>
      </c>
      <c r="N48">
        <v>66000</v>
      </c>
      <c r="P48" s="3">
        <v>67000</v>
      </c>
      <c r="Q48" s="4">
        <v>115000</v>
      </c>
    </row>
    <row r="49" spans="13:17" x14ac:dyDescent="0.3">
      <c r="M49" t="s">
        <v>33</v>
      </c>
      <c r="N49">
        <v>65000</v>
      </c>
      <c r="P49" s="4">
        <v>67000</v>
      </c>
      <c r="Q49" s="3">
        <v>115000</v>
      </c>
    </row>
    <row r="50" spans="13:17" x14ac:dyDescent="0.3">
      <c r="M50" t="s">
        <v>33</v>
      </c>
      <c r="N50">
        <v>65000</v>
      </c>
      <c r="P50" s="3">
        <v>66000</v>
      </c>
      <c r="Q50" s="4">
        <v>113000</v>
      </c>
    </row>
    <row r="51" spans="13:17" x14ac:dyDescent="0.3">
      <c r="M51" t="s">
        <v>33</v>
      </c>
      <c r="N51">
        <v>65000</v>
      </c>
      <c r="P51" s="4">
        <v>65000</v>
      </c>
      <c r="Q51" s="3">
        <v>110000</v>
      </c>
    </row>
    <row r="52" spans="13:17" x14ac:dyDescent="0.3">
      <c r="M52" t="s">
        <v>33</v>
      </c>
      <c r="N52">
        <v>65000</v>
      </c>
      <c r="P52" s="3">
        <v>65000</v>
      </c>
      <c r="Q52" s="4">
        <v>110000</v>
      </c>
    </row>
    <row r="53" spans="13:17" x14ac:dyDescent="0.3">
      <c r="M53" t="s">
        <v>33</v>
      </c>
      <c r="N53">
        <v>65000</v>
      </c>
      <c r="P53" s="4">
        <v>65000</v>
      </c>
      <c r="Q53" s="3">
        <v>110000</v>
      </c>
    </row>
    <row r="54" spans="13:17" x14ac:dyDescent="0.3">
      <c r="M54" t="s">
        <v>33</v>
      </c>
      <c r="N54">
        <v>65000</v>
      </c>
      <c r="P54" s="3">
        <v>65000</v>
      </c>
      <c r="Q54" s="4">
        <v>110000</v>
      </c>
    </row>
    <row r="55" spans="13:17" x14ac:dyDescent="0.3">
      <c r="M55" t="s">
        <v>33</v>
      </c>
      <c r="N55">
        <v>65000</v>
      </c>
      <c r="P55" s="4">
        <v>65000</v>
      </c>
      <c r="Q55" s="3">
        <v>110000</v>
      </c>
    </row>
    <row r="56" spans="13:17" x14ac:dyDescent="0.3">
      <c r="M56" t="s">
        <v>33</v>
      </c>
      <c r="N56">
        <v>65000</v>
      </c>
      <c r="P56" s="3">
        <v>65000</v>
      </c>
      <c r="Q56" s="4">
        <v>110000</v>
      </c>
    </row>
    <row r="57" spans="13:17" x14ac:dyDescent="0.3">
      <c r="M57" t="s">
        <v>33</v>
      </c>
      <c r="N57">
        <v>65000</v>
      </c>
      <c r="P57" s="4">
        <v>65000</v>
      </c>
      <c r="Q57" s="3">
        <v>110000</v>
      </c>
    </row>
    <row r="58" spans="13:17" x14ac:dyDescent="0.3">
      <c r="M58" t="s">
        <v>33</v>
      </c>
      <c r="N58">
        <v>65000</v>
      </c>
      <c r="P58" s="3">
        <v>65000</v>
      </c>
      <c r="Q58" s="4">
        <v>110000</v>
      </c>
    </row>
    <row r="59" spans="13:17" x14ac:dyDescent="0.3">
      <c r="M59" t="s">
        <v>33</v>
      </c>
      <c r="N59">
        <v>65000</v>
      </c>
      <c r="P59" s="4">
        <v>65000</v>
      </c>
      <c r="Q59" s="3">
        <v>110000</v>
      </c>
    </row>
    <row r="60" spans="13:17" x14ac:dyDescent="0.3">
      <c r="M60" t="s">
        <v>33</v>
      </c>
      <c r="N60">
        <v>65000</v>
      </c>
      <c r="P60" s="3">
        <v>65000</v>
      </c>
      <c r="Q60" s="4">
        <v>110000</v>
      </c>
    </row>
    <row r="61" spans="13:17" x14ac:dyDescent="0.3">
      <c r="M61" t="s">
        <v>33</v>
      </c>
      <c r="N61">
        <v>65000</v>
      </c>
      <c r="P61" s="4">
        <v>65000</v>
      </c>
      <c r="Q61" s="3">
        <v>110000</v>
      </c>
    </row>
    <row r="62" spans="13:17" x14ac:dyDescent="0.3">
      <c r="M62" t="s">
        <v>33</v>
      </c>
      <c r="N62">
        <v>65000</v>
      </c>
      <c r="P62" s="3">
        <v>65000</v>
      </c>
      <c r="Q62" s="4">
        <v>108500</v>
      </c>
    </row>
    <row r="63" spans="13:17" x14ac:dyDescent="0.3">
      <c r="M63" t="s">
        <v>33</v>
      </c>
      <c r="N63">
        <v>65000</v>
      </c>
      <c r="P63" s="4">
        <v>65000</v>
      </c>
      <c r="Q63" s="3">
        <v>108000</v>
      </c>
    </row>
    <row r="64" spans="13:17" x14ac:dyDescent="0.3">
      <c r="M64" t="s">
        <v>33</v>
      </c>
      <c r="N64">
        <v>64000</v>
      </c>
      <c r="P64" s="3">
        <v>65000</v>
      </c>
      <c r="Q64" s="4">
        <v>107000</v>
      </c>
    </row>
    <row r="65" spans="13:17" x14ac:dyDescent="0.3">
      <c r="M65" t="s">
        <v>33</v>
      </c>
      <c r="N65">
        <v>64000</v>
      </c>
      <c r="P65" s="4">
        <v>65000</v>
      </c>
      <c r="Q65" s="3">
        <v>106000</v>
      </c>
    </row>
    <row r="66" spans="13:17" x14ac:dyDescent="0.3">
      <c r="M66" t="s">
        <v>33</v>
      </c>
      <c r="N66">
        <v>64000</v>
      </c>
      <c r="P66" s="3">
        <v>64000</v>
      </c>
      <c r="Q66" s="4">
        <v>105000</v>
      </c>
    </row>
    <row r="67" spans="13:17" x14ac:dyDescent="0.3">
      <c r="M67" t="s">
        <v>33</v>
      </c>
      <c r="N67">
        <v>63000</v>
      </c>
      <c r="P67" s="4">
        <v>64000</v>
      </c>
      <c r="Q67" s="3">
        <v>105000</v>
      </c>
    </row>
    <row r="68" spans="13:17" x14ac:dyDescent="0.3">
      <c r="M68" t="s">
        <v>33</v>
      </c>
      <c r="N68">
        <v>63000</v>
      </c>
      <c r="P68" s="3">
        <v>64000</v>
      </c>
      <c r="Q68" s="4">
        <v>105000</v>
      </c>
    </row>
    <row r="69" spans="13:17" x14ac:dyDescent="0.3">
      <c r="M69" t="s">
        <v>33</v>
      </c>
      <c r="N69">
        <v>63000</v>
      </c>
      <c r="P69" s="4">
        <v>63000</v>
      </c>
      <c r="Q69" s="3">
        <v>105000</v>
      </c>
    </row>
    <row r="70" spans="13:17" x14ac:dyDescent="0.3">
      <c r="M70" t="s">
        <v>33</v>
      </c>
      <c r="N70">
        <v>62000</v>
      </c>
      <c r="P70" s="3">
        <v>63000</v>
      </c>
      <c r="Q70" s="4">
        <v>105000</v>
      </c>
    </row>
    <row r="71" spans="13:17" x14ac:dyDescent="0.3">
      <c r="M71" t="s">
        <v>33</v>
      </c>
      <c r="N71">
        <v>62000</v>
      </c>
      <c r="P71" s="4">
        <v>63000</v>
      </c>
      <c r="Q71" s="3">
        <v>105000</v>
      </c>
    </row>
    <row r="72" spans="13:17" x14ac:dyDescent="0.3">
      <c r="M72" t="s">
        <v>33</v>
      </c>
      <c r="N72">
        <v>62000</v>
      </c>
      <c r="P72" s="3">
        <v>62000</v>
      </c>
      <c r="Q72" s="4">
        <v>105000</v>
      </c>
    </row>
    <row r="73" spans="13:17" x14ac:dyDescent="0.3">
      <c r="M73" t="s">
        <v>33</v>
      </c>
      <c r="N73">
        <v>62000</v>
      </c>
      <c r="P73" s="4">
        <v>62000</v>
      </c>
      <c r="Q73" s="3">
        <v>103000</v>
      </c>
    </row>
    <row r="74" spans="13:17" x14ac:dyDescent="0.3">
      <c r="M74" t="s">
        <v>33</v>
      </c>
      <c r="N74">
        <v>61000</v>
      </c>
      <c r="P74" s="3">
        <v>62000</v>
      </c>
      <c r="Q74" s="4">
        <v>103000</v>
      </c>
    </row>
    <row r="75" spans="13:17" x14ac:dyDescent="0.3">
      <c r="M75" t="s">
        <v>33</v>
      </c>
      <c r="N75">
        <v>60000</v>
      </c>
      <c r="P75" s="4">
        <v>62000</v>
      </c>
      <c r="Q75" s="3">
        <v>102000</v>
      </c>
    </row>
    <row r="76" spans="13:17" x14ac:dyDescent="0.3">
      <c r="M76" t="s">
        <v>33</v>
      </c>
      <c r="N76">
        <v>60000</v>
      </c>
      <c r="P76" s="3">
        <v>61000</v>
      </c>
      <c r="Q76" s="4">
        <v>100000</v>
      </c>
    </row>
    <row r="77" spans="13:17" x14ac:dyDescent="0.3">
      <c r="M77" t="s">
        <v>33</v>
      </c>
      <c r="N77">
        <v>60000</v>
      </c>
      <c r="P77" s="4">
        <v>60000</v>
      </c>
      <c r="Q77" s="3">
        <v>100000</v>
      </c>
    </row>
    <row r="78" spans="13:17" x14ac:dyDescent="0.3">
      <c r="M78" t="s">
        <v>33</v>
      </c>
      <c r="N78">
        <v>60000</v>
      </c>
      <c r="P78" s="3">
        <v>60000</v>
      </c>
      <c r="Q78" s="4">
        <v>100000</v>
      </c>
    </row>
    <row r="79" spans="13:17" x14ac:dyDescent="0.3">
      <c r="M79" t="s">
        <v>33</v>
      </c>
      <c r="N79">
        <v>60000</v>
      </c>
      <c r="P79" s="4">
        <v>60000</v>
      </c>
      <c r="Q79" s="3">
        <v>100000</v>
      </c>
    </row>
    <row r="80" spans="13:17" x14ac:dyDescent="0.3">
      <c r="M80" t="s">
        <v>33</v>
      </c>
      <c r="N80">
        <v>60000</v>
      </c>
      <c r="P80" s="3">
        <v>60000</v>
      </c>
      <c r="Q80" s="4">
        <v>100000</v>
      </c>
    </row>
    <row r="81" spans="13:17" x14ac:dyDescent="0.3">
      <c r="M81" t="s">
        <v>33</v>
      </c>
      <c r="N81">
        <v>60000</v>
      </c>
      <c r="P81" s="4">
        <v>60000</v>
      </c>
      <c r="Q81" s="3">
        <v>100000</v>
      </c>
    </row>
    <row r="82" spans="13:17" x14ac:dyDescent="0.3">
      <c r="M82" t="s">
        <v>33</v>
      </c>
      <c r="N82">
        <v>60000</v>
      </c>
      <c r="P82" s="3">
        <v>60000</v>
      </c>
      <c r="Q82" s="4">
        <v>100000</v>
      </c>
    </row>
    <row r="83" spans="13:17" x14ac:dyDescent="0.3">
      <c r="M83" t="s">
        <v>33</v>
      </c>
      <c r="N83">
        <v>60000</v>
      </c>
      <c r="P83" s="4">
        <v>60000</v>
      </c>
      <c r="Q83" s="3">
        <v>100000</v>
      </c>
    </row>
    <row r="84" spans="13:17" x14ac:dyDescent="0.3">
      <c r="M84" t="s">
        <v>33</v>
      </c>
      <c r="N84">
        <v>60000</v>
      </c>
      <c r="P84" s="3">
        <v>60000</v>
      </c>
      <c r="Q84" s="4">
        <v>100000</v>
      </c>
    </row>
    <row r="85" spans="13:17" x14ac:dyDescent="0.3">
      <c r="M85" t="s">
        <v>33</v>
      </c>
      <c r="N85">
        <v>60000</v>
      </c>
      <c r="P85" s="4">
        <v>60000</v>
      </c>
      <c r="Q85" s="3">
        <v>100000</v>
      </c>
    </row>
    <row r="86" spans="13:17" x14ac:dyDescent="0.3">
      <c r="M86" t="s">
        <v>33</v>
      </c>
      <c r="N86">
        <v>60000</v>
      </c>
      <c r="P86" s="3">
        <v>60000</v>
      </c>
      <c r="Q86" s="4">
        <v>100000</v>
      </c>
    </row>
    <row r="87" spans="13:17" x14ac:dyDescent="0.3">
      <c r="M87" t="s">
        <v>33</v>
      </c>
      <c r="N87">
        <v>60000</v>
      </c>
      <c r="P87" s="4">
        <v>60000</v>
      </c>
      <c r="Q87" s="3">
        <v>100000</v>
      </c>
    </row>
    <row r="88" spans="13:17" x14ac:dyDescent="0.3">
      <c r="M88" t="s">
        <v>33</v>
      </c>
      <c r="N88">
        <v>60000</v>
      </c>
      <c r="P88" s="3">
        <v>60000</v>
      </c>
      <c r="Q88" s="4">
        <v>100000</v>
      </c>
    </row>
    <row r="89" spans="13:17" x14ac:dyDescent="0.3">
      <c r="M89" t="s">
        <v>33</v>
      </c>
      <c r="N89">
        <v>60000</v>
      </c>
      <c r="P89" s="4">
        <v>60000</v>
      </c>
      <c r="Q89" s="3">
        <v>100000</v>
      </c>
    </row>
    <row r="90" spans="13:17" x14ac:dyDescent="0.3">
      <c r="M90" t="s">
        <v>33</v>
      </c>
      <c r="N90">
        <v>60000</v>
      </c>
      <c r="P90" s="3">
        <v>60000</v>
      </c>
      <c r="Q90" s="4">
        <v>100000</v>
      </c>
    </row>
    <row r="91" spans="13:17" x14ac:dyDescent="0.3">
      <c r="M91" t="s">
        <v>33</v>
      </c>
      <c r="N91">
        <v>60000</v>
      </c>
      <c r="P91" s="4">
        <v>60000</v>
      </c>
      <c r="Q91" s="3">
        <v>100000</v>
      </c>
    </row>
    <row r="92" spans="13:17" x14ac:dyDescent="0.3">
      <c r="M92" t="s">
        <v>33</v>
      </c>
      <c r="N92">
        <v>60000</v>
      </c>
      <c r="P92" s="3">
        <v>60000</v>
      </c>
      <c r="Q92" s="4">
        <v>100000</v>
      </c>
    </row>
    <row r="93" spans="13:17" x14ac:dyDescent="0.3">
      <c r="M93" t="s">
        <v>33</v>
      </c>
      <c r="N93">
        <v>60000</v>
      </c>
      <c r="P93" s="4">
        <v>60000</v>
      </c>
      <c r="Q93" s="3">
        <v>100000</v>
      </c>
    </row>
    <row r="94" spans="13:17" x14ac:dyDescent="0.3">
      <c r="M94" t="s">
        <v>33</v>
      </c>
      <c r="N94">
        <v>60000</v>
      </c>
      <c r="P94" s="3">
        <v>60000</v>
      </c>
      <c r="Q94" s="4">
        <v>100000</v>
      </c>
    </row>
    <row r="95" spans="13:17" x14ac:dyDescent="0.3">
      <c r="M95" t="s">
        <v>33</v>
      </c>
      <c r="N95">
        <v>60000</v>
      </c>
      <c r="P95" s="4">
        <v>60000</v>
      </c>
      <c r="Q95" s="3">
        <v>100000</v>
      </c>
    </row>
    <row r="96" spans="13:17" x14ac:dyDescent="0.3">
      <c r="M96" t="s">
        <v>33</v>
      </c>
      <c r="N96">
        <v>60000</v>
      </c>
      <c r="P96" s="3">
        <v>60000</v>
      </c>
      <c r="Q96" s="4">
        <v>100000</v>
      </c>
    </row>
    <row r="97" spans="13:17" x14ac:dyDescent="0.3">
      <c r="M97" t="s">
        <v>33</v>
      </c>
      <c r="N97">
        <v>60000</v>
      </c>
      <c r="P97" s="4">
        <v>60000</v>
      </c>
      <c r="Q97" s="3">
        <v>100000</v>
      </c>
    </row>
    <row r="98" spans="13:17" x14ac:dyDescent="0.3">
      <c r="M98" t="s">
        <v>33</v>
      </c>
      <c r="N98">
        <v>60000</v>
      </c>
      <c r="P98" s="3">
        <v>60000</v>
      </c>
      <c r="Q98" s="4">
        <v>100000</v>
      </c>
    </row>
    <row r="99" spans="13:17" x14ac:dyDescent="0.3">
      <c r="M99" t="s">
        <v>33</v>
      </c>
      <c r="N99">
        <v>60000</v>
      </c>
      <c r="P99" s="4">
        <v>60000</v>
      </c>
      <c r="Q99" s="3">
        <v>100000</v>
      </c>
    </row>
    <row r="100" spans="13:17" x14ac:dyDescent="0.3">
      <c r="M100" t="s">
        <v>33</v>
      </c>
      <c r="N100">
        <v>60000</v>
      </c>
      <c r="P100" s="3">
        <v>60000</v>
      </c>
      <c r="Q100" s="4">
        <v>100000</v>
      </c>
    </row>
    <row r="101" spans="13:17" x14ac:dyDescent="0.3">
      <c r="M101" t="s">
        <v>33</v>
      </c>
      <c r="N101">
        <v>60000</v>
      </c>
      <c r="P101" s="4">
        <v>60000</v>
      </c>
      <c r="Q101" s="3">
        <v>100000</v>
      </c>
    </row>
    <row r="102" spans="13:17" x14ac:dyDescent="0.3">
      <c r="M102" t="s">
        <v>33</v>
      </c>
      <c r="N102">
        <v>58000</v>
      </c>
      <c r="P102" s="3">
        <v>60000</v>
      </c>
      <c r="Q102" s="4">
        <v>100000</v>
      </c>
    </row>
    <row r="103" spans="13:17" x14ac:dyDescent="0.3">
      <c r="M103" t="s">
        <v>33</v>
      </c>
      <c r="N103">
        <v>58000</v>
      </c>
      <c r="P103" s="4">
        <v>60000</v>
      </c>
      <c r="Q103" s="3">
        <v>100000</v>
      </c>
    </row>
    <row r="104" spans="13:17" x14ac:dyDescent="0.3">
      <c r="M104" t="s">
        <v>33</v>
      </c>
      <c r="N104">
        <v>58000</v>
      </c>
      <c r="P104" s="3">
        <v>58000</v>
      </c>
      <c r="Q104" s="4">
        <v>99000</v>
      </c>
    </row>
    <row r="105" spans="13:17" x14ac:dyDescent="0.3">
      <c r="M105" t="s">
        <v>33</v>
      </c>
      <c r="N105">
        <v>58000</v>
      </c>
      <c r="P105" s="4">
        <v>58000</v>
      </c>
      <c r="Q105" s="3">
        <v>99000</v>
      </c>
    </row>
    <row r="106" spans="13:17" x14ac:dyDescent="0.3">
      <c r="M106" t="s">
        <v>33</v>
      </c>
      <c r="N106">
        <v>58000</v>
      </c>
      <c r="P106" s="3">
        <v>58000</v>
      </c>
      <c r="Q106" s="4">
        <v>99000</v>
      </c>
    </row>
    <row r="107" spans="13:17" x14ac:dyDescent="0.3">
      <c r="M107" t="s">
        <v>33</v>
      </c>
      <c r="N107">
        <v>57760</v>
      </c>
      <c r="P107" s="4">
        <v>58000</v>
      </c>
      <c r="Q107" s="3">
        <v>98000</v>
      </c>
    </row>
    <row r="108" spans="13:17" x14ac:dyDescent="0.3">
      <c r="M108" t="s">
        <v>33</v>
      </c>
      <c r="N108">
        <v>57600</v>
      </c>
      <c r="P108" s="3">
        <v>58000</v>
      </c>
      <c r="Q108" s="4">
        <v>98000</v>
      </c>
    </row>
    <row r="109" spans="13:17" x14ac:dyDescent="0.3">
      <c r="M109" t="s">
        <v>33</v>
      </c>
      <c r="N109">
        <v>57000</v>
      </c>
      <c r="P109" s="4">
        <v>57760</v>
      </c>
      <c r="Q109" s="3">
        <v>96000</v>
      </c>
    </row>
    <row r="110" spans="13:17" x14ac:dyDescent="0.3">
      <c r="M110" t="s">
        <v>33</v>
      </c>
      <c r="N110">
        <v>57000</v>
      </c>
      <c r="P110" s="3">
        <v>57600</v>
      </c>
      <c r="Q110" s="4">
        <v>96000</v>
      </c>
    </row>
    <row r="111" spans="13:17" x14ac:dyDescent="0.3">
      <c r="M111" t="s">
        <v>33</v>
      </c>
      <c r="N111">
        <v>57000</v>
      </c>
      <c r="P111" s="4">
        <v>57000</v>
      </c>
      <c r="Q111" s="3">
        <v>95500</v>
      </c>
    </row>
    <row r="112" spans="13:17" x14ac:dyDescent="0.3">
      <c r="M112" t="s">
        <v>33</v>
      </c>
      <c r="N112">
        <v>57000</v>
      </c>
      <c r="P112" s="3">
        <v>57000</v>
      </c>
      <c r="Q112" s="4">
        <v>95000</v>
      </c>
    </row>
    <row r="113" spans="13:17" x14ac:dyDescent="0.3">
      <c r="M113" t="s">
        <v>33</v>
      </c>
      <c r="N113">
        <v>57000</v>
      </c>
      <c r="P113" s="4">
        <v>57000</v>
      </c>
      <c r="Q113" s="3">
        <v>95000</v>
      </c>
    </row>
    <row r="114" spans="13:17" x14ac:dyDescent="0.3">
      <c r="M114" t="s">
        <v>33</v>
      </c>
      <c r="N114">
        <v>56000</v>
      </c>
      <c r="P114" s="3">
        <v>57000</v>
      </c>
      <c r="Q114" s="4">
        <v>95000</v>
      </c>
    </row>
    <row r="115" spans="13:17" x14ac:dyDescent="0.3">
      <c r="M115" t="s">
        <v>33</v>
      </c>
      <c r="N115">
        <v>55200</v>
      </c>
      <c r="P115" s="4">
        <v>57000</v>
      </c>
      <c r="Q115" s="3">
        <v>95000</v>
      </c>
    </row>
    <row r="116" spans="13:17" x14ac:dyDescent="0.3">
      <c r="M116" t="s">
        <v>33</v>
      </c>
      <c r="N116">
        <v>55000</v>
      </c>
      <c r="P116" s="3">
        <v>56000</v>
      </c>
      <c r="Q116" s="4">
        <v>95000</v>
      </c>
    </row>
    <row r="117" spans="13:17" x14ac:dyDescent="0.3">
      <c r="M117" t="s">
        <v>33</v>
      </c>
      <c r="N117">
        <v>55000</v>
      </c>
      <c r="P117" s="4">
        <v>55200</v>
      </c>
      <c r="Q117" s="3">
        <v>95000</v>
      </c>
    </row>
    <row r="118" spans="13:17" x14ac:dyDescent="0.3">
      <c r="M118" t="s">
        <v>33</v>
      </c>
      <c r="N118">
        <v>55000</v>
      </c>
      <c r="P118" s="3">
        <v>55000</v>
      </c>
      <c r="Q118" s="4">
        <v>95000</v>
      </c>
    </row>
    <row r="119" spans="13:17" x14ac:dyDescent="0.3">
      <c r="M119" t="s">
        <v>33</v>
      </c>
      <c r="N119">
        <v>55000</v>
      </c>
      <c r="P119" s="4">
        <v>55000</v>
      </c>
      <c r="Q119" s="3">
        <v>95000</v>
      </c>
    </row>
    <row r="120" spans="13:17" x14ac:dyDescent="0.3">
      <c r="M120" t="s">
        <v>33</v>
      </c>
      <c r="N120">
        <v>55000</v>
      </c>
      <c r="P120" s="3">
        <v>55000</v>
      </c>
      <c r="Q120" s="4">
        <v>95000</v>
      </c>
    </row>
    <row r="121" spans="13:17" x14ac:dyDescent="0.3">
      <c r="M121" t="s">
        <v>33</v>
      </c>
      <c r="N121">
        <v>55000</v>
      </c>
      <c r="P121" s="4">
        <v>55000</v>
      </c>
      <c r="Q121" s="3">
        <v>95000</v>
      </c>
    </row>
    <row r="122" spans="13:17" x14ac:dyDescent="0.3">
      <c r="M122" t="s">
        <v>33</v>
      </c>
      <c r="N122">
        <v>55000</v>
      </c>
      <c r="P122" s="3">
        <v>55000</v>
      </c>
      <c r="Q122" s="4">
        <v>95000</v>
      </c>
    </row>
    <row r="123" spans="13:17" x14ac:dyDescent="0.3">
      <c r="M123" t="s">
        <v>33</v>
      </c>
      <c r="N123">
        <v>55000</v>
      </c>
      <c r="P123" s="4">
        <v>55000</v>
      </c>
      <c r="Q123" s="3">
        <v>95000</v>
      </c>
    </row>
    <row r="124" spans="13:17" x14ac:dyDescent="0.3">
      <c r="M124" t="s">
        <v>33</v>
      </c>
      <c r="N124">
        <v>54500</v>
      </c>
      <c r="P124" s="3">
        <v>55000</v>
      </c>
      <c r="Q124" s="4">
        <v>95000</v>
      </c>
    </row>
    <row r="125" spans="13:17" x14ac:dyDescent="0.3">
      <c r="M125" t="s">
        <v>33</v>
      </c>
      <c r="N125">
        <v>54000</v>
      </c>
      <c r="P125" s="4">
        <v>55000</v>
      </c>
      <c r="Q125" s="3">
        <v>95000</v>
      </c>
    </row>
    <row r="126" spans="13:17" x14ac:dyDescent="0.3">
      <c r="M126" t="s">
        <v>33</v>
      </c>
      <c r="N126">
        <v>54000</v>
      </c>
      <c r="P126" s="3">
        <v>54500</v>
      </c>
      <c r="Q126" s="4">
        <v>95000</v>
      </c>
    </row>
    <row r="127" spans="13:17" x14ac:dyDescent="0.3">
      <c r="M127" t="s">
        <v>33</v>
      </c>
      <c r="N127">
        <v>54000</v>
      </c>
      <c r="P127" s="4">
        <v>54000</v>
      </c>
      <c r="Q127" s="3">
        <v>95000</v>
      </c>
    </row>
    <row r="128" spans="13:17" x14ac:dyDescent="0.3">
      <c r="M128" t="s">
        <v>33</v>
      </c>
      <c r="N128">
        <v>54000</v>
      </c>
      <c r="P128" s="3">
        <v>54000</v>
      </c>
      <c r="Q128" s="4">
        <v>95000</v>
      </c>
    </row>
    <row r="129" spans="13:17" x14ac:dyDescent="0.3">
      <c r="M129" t="s">
        <v>33</v>
      </c>
      <c r="N129">
        <v>54000</v>
      </c>
      <c r="P129" s="4">
        <v>54000</v>
      </c>
      <c r="Q129" s="3">
        <v>95000</v>
      </c>
    </row>
    <row r="130" spans="13:17" x14ac:dyDescent="0.3">
      <c r="M130" t="s">
        <v>33</v>
      </c>
      <c r="N130">
        <v>53000</v>
      </c>
      <c r="P130" s="3">
        <v>54000</v>
      </c>
      <c r="Q130" s="4">
        <v>95000</v>
      </c>
    </row>
    <row r="131" spans="13:17" x14ac:dyDescent="0.3">
      <c r="M131" t="s">
        <v>33</v>
      </c>
      <c r="N131">
        <v>53000</v>
      </c>
      <c r="P131" s="4">
        <v>54000</v>
      </c>
      <c r="Q131" s="3">
        <v>95000</v>
      </c>
    </row>
    <row r="132" spans="13:17" x14ac:dyDescent="0.3">
      <c r="M132" t="s">
        <v>33</v>
      </c>
      <c r="N132">
        <v>53000</v>
      </c>
      <c r="P132" s="3">
        <v>53000</v>
      </c>
      <c r="Q132" s="4">
        <v>95000</v>
      </c>
    </row>
    <row r="133" spans="13:17" x14ac:dyDescent="0.3">
      <c r="M133" t="s">
        <v>33</v>
      </c>
      <c r="N133">
        <v>53000</v>
      </c>
      <c r="P133" s="4">
        <v>53000</v>
      </c>
      <c r="Q133" s="3">
        <v>95000</v>
      </c>
    </row>
    <row r="134" spans="13:17" x14ac:dyDescent="0.3">
      <c r="M134" t="s">
        <v>33</v>
      </c>
      <c r="N134">
        <v>52500</v>
      </c>
      <c r="P134" s="3">
        <v>53000</v>
      </c>
      <c r="Q134" s="4">
        <v>94000</v>
      </c>
    </row>
    <row r="135" spans="13:17" x14ac:dyDescent="0.3">
      <c r="M135" t="s">
        <v>33</v>
      </c>
      <c r="N135">
        <v>52000</v>
      </c>
      <c r="P135" s="4">
        <v>53000</v>
      </c>
      <c r="Q135" s="3">
        <v>93000</v>
      </c>
    </row>
    <row r="136" spans="13:17" x14ac:dyDescent="0.3">
      <c r="M136" t="s">
        <v>33</v>
      </c>
      <c r="N136">
        <v>52000</v>
      </c>
      <c r="P136" s="3">
        <v>52500</v>
      </c>
      <c r="Q136" s="4">
        <v>93000</v>
      </c>
    </row>
    <row r="137" spans="13:17" x14ac:dyDescent="0.3">
      <c r="M137" t="s">
        <v>33</v>
      </c>
      <c r="N137">
        <v>52000</v>
      </c>
      <c r="P137" s="4">
        <v>52000</v>
      </c>
      <c r="Q137" s="3">
        <v>93000</v>
      </c>
    </row>
    <row r="138" spans="13:17" x14ac:dyDescent="0.3">
      <c r="M138" t="s">
        <v>33</v>
      </c>
      <c r="N138">
        <v>52000</v>
      </c>
      <c r="P138" s="3">
        <v>52000</v>
      </c>
      <c r="Q138" s="4">
        <v>93000</v>
      </c>
    </row>
    <row r="139" spans="13:17" x14ac:dyDescent="0.3">
      <c r="M139" t="s">
        <v>33</v>
      </c>
      <c r="N139">
        <v>52000</v>
      </c>
      <c r="P139" s="4">
        <v>52000</v>
      </c>
      <c r="Q139" s="3">
        <v>92500</v>
      </c>
    </row>
    <row r="140" spans="13:17" x14ac:dyDescent="0.3">
      <c r="M140" t="s">
        <v>33</v>
      </c>
      <c r="N140">
        <v>51000</v>
      </c>
      <c r="P140" s="3">
        <v>52000</v>
      </c>
      <c r="Q140" s="4">
        <v>92000</v>
      </c>
    </row>
    <row r="141" spans="13:17" x14ac:dyDescent="0.3">
      <c r="M141" t="s">
        <v>33</v>
      </c>
      <c r="N141">
        <v>51000</v>
      </c>
      <c r="P141" s="4">
        <v>52000</v>
      </c>
      <c r="Q141" s="3">
        <v>92000</v>
      </c>
    </row>
    <row r="142" spans="13:17" x14ac:dyDescent="0.3">
      <c r="M142" t="s">
        <v>33</v>
      </c>
      <c r="N142">
        <v>51000</v>
      </c>
      <c r="P142" s="3">
        <v>51000</v>
      </c>
      <c r="Q142" s="4">
        <v>92000</v>
      </c>
    </row>
    <row r="143" spans="13:17" x14ac:dyDescent="0.3">
      <c r="M143" t="s">
        <v>33</v>
      </c>
      <c r="N143">
        <v>50500</v>
      </c>
      <c r="P143" s="4">
        <v>51000</v>
      </c>
      <c r="Q143" s="3">
        <v>92000</v>
      </c>
    </row>
    <row r="144" spans="13:17" x14ac:dyDescent="0.3">
      <c r="M144" t="s">
        <v>33</v>
      </c>
      <c r="N144">
        <v>50400</v>
      </c>
      <c r="P144" s="3">
        <v>51000</v>
      </c>
      <c r="Q144" s="4">
        <v>91000</v>
      </c>
    </row>
    <row r="145" spans="13:17" x14ac:dyDescent="0.3">
      <c r="M145" t="s">
        <v>33</v>
      </c>
      <c r="N145">
        <v>50000</v>
      </c>
      <c r="P145" s="4">
        <v>50500</v>
      </c>
      <c r="Q145" s="3">
        <v>90000</v>
      </c>
    </row>
    <row r="146" spans="13:17" x14ac:dyDescent="0.3">
      <c r="M146" t="s">
        <v>33</v>
      </c>
      <c r="N146">
        <v>50000</v>
      </c>
      <c r="P146" s="3">
        <v>50400</v>
      </c>
      <c r="Q146" s="4">
        <v>90000</v>
      </c>
    </row>
    <row r="147" spans="13:17" x14ac:dyDescent="0.3">
      <c r="M147" t="s">
        <v>33</v>
      </c>
      <c r="N147">
        <v>50000</v>
      </c>
      <c r="P147" s="4">
        <v>50000</v>
      </c>
      <c r="Q147" s="3">
        <v>90000</v>
      </c>
    </row>
    <row r="148" spans="13:17" x14ac:dyDescent="0.3">
      <c r="M148" t="s">
        <v>33</v>
      </c>
      <c r="N148">
        <v>50000</v>
      </c>
      <c r="P148" s="3">
        <v>50000</v>
      </c>
      <c r="Q148" s="4">
        <v>90000</v>
      </c>
    </row>
    <row r="149" spans="13:17" x14ac:dyDescent="0.3">
      <c r="M149" t="s">
        <v>33</v>
      </c>
      <c r="N149">
        <v>50000</v>
      </c>
      <c r="P149" s="4">
        <v>50000</v>
      </c>
      <c r="Q149" s="3">
        <v>90000</v>
      </c>
    </row>
    <row r="150" spans="13:17" x14ac:dyDescent="0.3">
      <c r="M150" t="s">
        <v>33</v>
      </c>
      <c r="N150">
        <v>50000</v>
      </c>
      <c r="P150" s="3">
        <v>50000</v>
      </c>
      <c r="Q150" s="4">
        <v>90000</v>
      </c>
    </row>
    <row r="151" spans="13:17" x14ac:dyDescent="0.3">
      <c r="M151" t="s">
        <v>33</v>
      </c>
      <c r="N151">
        <v>50000</v>
      </c>
      <c r="P151" s="4">
        <v>50000</v>
      </c>
      <c r="Q151" s="3">
        <v>90000</v>
      </c>
    </row>
    <row r="152" spans="13:17" x14ac:dyDescent="0.3">
      <c r="M152" t="s">
        <v>33</v>
      </c>
      <c r="N152">
        <v>50000</v>
      </c>
      <c r="P152" s="3">
        <v>50000</v>
      </c>
      <c r="Q152" s="4">
        <v>90000</v>
      </c>
    </row>
    <row r="153" spans="13:17" x14ac:dyDescent="0.3">
      <c r="M153" t="s">
        <v>33</v>
      </c>
      <c r="N153">
        <v>49850</v>
      </c>
      <c r="P153" s="4">
        <v>50000</v>
      </c>
      <c r="Q153" s="3">
        <v>90000</v>
      </c>
    </row>
    <row r="154" spans="13:17" x14ac:dyDescent="0.3">
      <c r="M154" t="s">
        <v>33</v>
      </c>
      <c r="N154">
        <v>49000</v>
      </c>
      <c r="P154" s="3">
        <v>50000</v>
      </c>
      <c r="Q154" s="4">
        <v>90000</v>
      </c>
    </row>
    <row r="155" spans="13:17" x14ac:dyDescent="0.3">
      <c r="M155" t="s">
        <v>33</v>
      </c>
      <c r="N155">
        <v>48000</v>
      </c>
      <c r="P155" s="4">
        <v>49850</v>
      </c>
      <c r="Q155" s="3">
        <v>90000</v>
      </c>
    </row>
    <row r="156" spans="13:17" x14ac:dyDescent="0.3">
      <c r="M156" t="s">
        <v>33</v>
      </c>
      <c r="N156">
        <v>48000</v>
      </c>
      <c r="P156" s="3">
        <v>49000</v>
      </c>
      <c r="Q156" s="4">
        <v>90000</v>
      </c>
    </row>
    <row r="157" spans="13:17" x14ac:dyDescent="0.3">
      <c r="M157" t="s">
        <v>33</v>
      </c>
      <c r="N157">
        <v>48000</v>
      </c>
      <c r="P157" s="4">
        <v>48000</v>
      </c>
      <c r="Q157" s="3">
        <v>90000</v>
      </c>
    </row>
    <row r="158" spans="13:17" x14ac:dyDescent="0.3">
      <c r="M158" t="s">
        <v>33</v>
      </c>
      <c r="N158">
        <v>47745</v>
      </c>
      <c r="P158" s="3">
        <v>48000</v>
      </c>
      <c r="Q158" s="4">
        <v>90000</v>
      </c>
    </row>
    <row r="159" spans="13:17" x14ac:dyDescent="0.3">
      <c r="M159" t="s">
        <v>33</v>
      </c>
      <c r="N159">
        <v>47500</v>
      </c>
      <c r="P159" s="4">
        <v>48000</v>
      </c>
      <c r="Q159" s="3">
        <v>90000</v>
      </c>
    </row>
    <row r="160" spans="13:17" x14ac:dyDescent="0.3">
      <c r="M160" t="s">
        <v>33</v>
      </c>
      <c r="N160">
        <v>47500</v>
      </c>
      <c r="P160" s="3">
        <v>47745</v>
      </c>
      <c r="Q160" s="4">
        <v>90000</v>
      </c>
    </row>
    <row r="161" spans="13:17" x14ac:dyDescent="0.3">
      <c r="M161" t="s">
        <v>33</v>
      </c>
      <c r="N161">
        <v>47000</v>
      </c>
      <c r="P161" s="4">
        <v>47500</v>
      </c>
      <c r="Q161" s="3">
        <v>90000</v>
      </c>
    </row>
    <row r="162" spans="13:17" x14ac:dyDescent="0.3">
      <c r="M162" t="s">
        <v>33</v>
      </c>
      <c r="N162">
        <v>46000</v>
      </c>
      <c r="P162" s="3">
        <v>47500</v>
      </c>
      <c r="Q162" s="4">
        <v>90000</v>
      </c>
    </row>
    <row r="163" spans="13:17" x14ac:dyDescent="0.3">
      <c r="M163" t="s">
        <v>33</v>
      </c>
      <c r="N163">
        <v>46000</v>
      </c>
      <c r="P163" s="4">
        <v>47000</v>
      </c>
      <c r="Q163" s="3">
        <v>90000</v>
      </c>
    </row>
    <row r="164" spans="13:17" x14ac:dyDescent="0.3">
      <c r="M164" t="s">
        <v>33</v>
      </c>
      <c r="N164">
        <v>46000</v>
      </c>
      <c r="P164" s="3">
        <v>46000</v>
      </c>
      <c r="Q164" s="4">
        <v>90000</v>
      </c>
    </row>
    <row r="165" spans="13:17" x14ac:dyDescent="0.3">
      <c r="M165" t="s">
        <v>33</v>
      </c>
      <c r="N165">
        <v>45000</v>
      </c>
      <c r="P165" s="4">
        <v>46000</v>
      </c>
      <c r="Q165" s="3">
        <v>90000</v>
      </c>
    </row>
    <row r="166" spans="13:17" x14ac:dyDescent="0.3">
      <c r="M166" t="s">
        <v>33</v>
      </c>
      <c r="N166">
        <v>45000</v>
      </c>
      <c r="P166" s="3">
        <v>46000</v>
      </c>
      <c r="Q166" s="4">
        <v>90000</v>
      </c>
    </row>
    <row r="167" spans="13:17" x14ac:dyDescent="0.3">
      <c r="M167" t="s">
        <v>33</v>
      </c>
      <c r="N167">
        <v>45000</v>
      </c>
      <c r="P167" s="4">
        <v>45000</v>
      </c>
      <c r="Q167" s="3">
        <v>90000</v>
      </c>
    </row>
    <row r="168" spans="13:17" x14ac:dyDescent="0.3">
      <c r="M168" t="s">
        <v>33</v>
      </c>
      <c r="N168">
        <v>45000</v>
      </c>
      <c r="P168" s="3">
        <v>45000</v>
      </c>
      <c r="Q168" s="4">
        <v>90000</v>
      </c>
    </row>
    <row r="169" spans="13:17" x14ac:dyDescent="0.3">
      <c r="M169" t="s">
        <v>33</v>
      </c>
      <c r="N169">
        <v>45000</v>
      </c>
      <c r="P169" s="4">
        <v>45000</v>
      </c>
      <c r="Q169" s="3">
        <v>90000</v>
      </c>
    </row>
    <row r="170" spans="13:17" x14ac:dyDescent="0.3">
      <c r="M170" t="s">
        <v>33</v>
      </c>
      <c r="N170">
        <v>45000</v>
      </c>
      <c r="P170" s="3">
        <v>45000</v>
      </c>
      <c r="Q170" s="4">
        <v>90000</v>
      </c>
    </row>
    <row r="171" spans="13:17" x14ac:dyDescent="0.3">
      <c r="M171" t="s">
        <v>33</v>
      </c>
      <c r="N171">
        <v>45000</v>
      </c>
      <c r="P171" s="4">
        <v>45000</v>
      </c>
      <c r="Q171" s="3">
        <v>90000</v>
      </c>
    </row>
    <row r="172" spans="13:17" x14ac:dyDescent="0.3">
      <c r="M172" t="s">
        <v>33</v>
      </c>
      <c r="N172">
        <v>45000</v>
      </c>
      <c r="P172" s="3">
        <v>45000</v>
      </c>
      <c r="Q172" s="4">
        <v>90000</v>
      </c>
    </row>
    <row r="173" spans="13:17" x14ac:dyDescent="0.3">
      <c r="M173" t="s">
        <v>33</v>
      </c>
      <c r="N173">
        <v>45000</v>
      </c>
      <c r="P173" s="4">
        <v>45000</v>
      </c>
      <c r="Q173" s="3">
        <v>90000</v>
      </c>
    </row>
    <row r="174" spans="13:17" x14ac:dyDescent="0.3">
      <c r="M174" t="s">
        <v>33</v>
      </c>
      <c r="N174">
        <v>45000</v>
      </c>
      <c r="P174" s="3">
        <v>45000</v>
      </c>
      <c r="Q174" s="4">
        <v>90000</v>
      </c>
    </row>
    <row r="175" spans="13:17" x14ac:dyDescent="0.3">
      <c r="M175" t="s">
        <v>33</v>
      </c>
      <c r="N175">
        <v>42000</v>
      </c>
      <c r="P175" s="4">
        <v>45000</v>
      </c>
      <c r="Q175" s="3">
        <v>90000</v>
      </c>
    </row>
    <row r="176" spans="13:17" x14ac:dyDescent="0.3">
      <c r="M176" t="s">
        <v>33</v>
      </c>
      <c r="N176">
        <v>42000</v>
      </c>
      <c r="P176" s="3">
        <v>45000</v>
      </c>
      <c r="Q176" s="4">
        <v>90000</v>
      </c>
    </row>
    <row r="177" spans="13:17" x14ac:dyDescent="0.3">
      <c r="M177" t="s">
        <v>33</v>
      </c>
      <c r="N177">
        <v>42000</v>
      </c>
      <c r="P177" s="4">
        <v>42000</v>
      </c>
      <c r="Q177" s="3">
        <v>90000</v>
      </c>
    </row>
    <row r="178" spans="13:17" x14ac:dyDescent="0.3">
      <c r="M178" t="s">
        <v>33</v>
      </c>
      <c r="N178">
        <v>40000</v>
      </c>
      <c r="P178" s="3">
        <v>42000</v>
      </c>
      <c r="Q178" s="4">
        <v>90000</v>
      </c>
    </row>
    <row r="179" spans="13:17" x14ac:dyDescent="0.3">
      <c r="M179" t="s">
        <v>33</v>
      </c>
      <c r="N179">
        <v>40000</v>
      </c>
      <c r="P179" s="4">
        <v>42000</v>
      </c>
      <c r="Q179" s="3">
        <v>90000</v>
      </c>
    </row>
    <row r="180" spans="13:17" x14ac:dyDescent="0.3">
      <c r="M180" t="s">
        <v>33</v>
      </c>
      <c r="N180">
        <v>40000</v>
      </c>
      <c r="P180" s="3">
        <v>40000</v>
      </c>
      <c r="Q180" s="4">
        <v>90000</v>
      </c>
    </row>
    <row r="181" spans="13:17" x14ac:dyDescent="0.3">
      <c r="M181" t="s">
        <v>33</v>
      </c>
      <c r="N181">
        <v>39000</v>
      </c>
      <c r="P181" s="4">
        <v>40000</v>
      </c>
      <c r="Q181" s="3">
        <v>90000</v>
      </c>
    </row>
    <row r="182" spans="13:17" x14ac:dyDescent="0.3">
      <c r="M182" t="s">
        <v>33</v>
      </c>
      <c r="N182">
        <v>36000</v>
      </c>
      <c r="P182" s="3">
        <v>40000</v>
      </c>
      <c r="Q182" s="4">
        <v>90000</v>
      </c>
    </row>
    <row r="183" spans="13:17" x14ac:dyDescent="0.3">
      <c r="M183" t="s">
        <v>33</v>
      </c>
      <c r="N183">
        <v>33000</v>
      </c>
      <c r="P183" s="4">
        <v>39000</v>
      </c>
      <c r="Q183" s="3">
        <v>90000</v>
      </c>
    </row>
    <row r="184" spans="13:17" x14ac:dyDescent="0.3">
      <c r="M184" t="s">
        <v>33</v>
      </c>
      <c r="N184">
        <v>32000</v>
      </c>
      <c r="P184" s="3">
        <v>36000</v>
      </c>
      <c r="Q184" s="4">
        <v>90000</v>
      </c>
    </row>
    <row r="185" spans="13:17" x14ac:dyDescent="0.3">
      <c r="M185" t="s">
        <v>33</v>
      </c>
      <c r="N185">
        <v>32000</v>
      </c>
      <c r="P185" s="4">
        <v>33000</v>
      </c>
      <c r="Q185" s="3">
        <v>90000</v>
      </c>
    </row>
    <row r="186" spans="13:17" x14ac:dyDescent="0.3">
      <c r="M186" t="s">
        <v>33</v>
      </c>
      <c r="N186">
        <v>29000</v>
      </c>
      <c r="P186" s="3">
        <v>32000</v>
      </c>
      <c r="Q186" s="4">
        <v>90000</v>
      </c>
    </row>
    <row r="187" spans="13:17" x14ac:dyDescent="0.3">
      <c r="M187" t="s">
        <v>33</v>
      </c>
      <c r="N187">
        <v>24000</v>
      </c>
      <c r="P187" s="4">
        <v>32000</v>
      </c>
      <c r="Q187" s="3">
        <v>90000</v>
      </c>
    </row>
    <row r="188" spans="13:17" x14ac:dyDescent="0.3">
      <c r="M188" t="s">
        <v>33</v>
      </c>
      <c r="N188">
        <v>23000</v>
      </c>
      <c r="P188" s="3">
        <v>29000</v>
      </c>
      <c r="Q188" s="4">
        <v>90000</v>
      </c>
    </row>
    <row r="189" spans="13:17" x14ac:dyDescent="0.3">
      <c r="M189" t="s">
        <v>33</v>
      </c>
      <c r="N189">
        <v>20000</v>
      </c>
      <c r="P189" s="4">
        <v>24000</v>
      </c>
      <c r="Q189" s="3">
        <v>89570</v>
      </c>
    </row>
    <row r="190" spans="13:17" x14ac:dyDescent="0.3">
      <c r="M190" t="s">
        <v>33</v>
      </c>
      <c r="N190">
        <v>17500</v>
      </c>
      <c r="P190" s="3">
        <v>23000</v>
      </c>
      <c r="Q190" s="4">
        <v>89200</v>
      </c>
    </row>
    <row r="191" spans="13:17" x14ac:dyDescent="0.3">
      <c r="M191" t="s">
        <v>33</v>
      </c>
      <c r="N191">
        <v>16320</v>
      </c>
      <c r="P191" s="4">
        <v>20000</v>
      </c>
      <c r="Q191" s="3">
        <v>89000</v>
      </c>
    </row>
    <row r="192" spans="13:17" x14ac:dyDescent="0.3">
      <c r="M192" t="s">
        <v>33</v>
      </c>
      <c r="N192">
        <v>12000</v>
      </c>
      <c r="P192" s="3">
        <v>17500</v>
      </c>
      <c r="Q192" s="4">
        <v>88000</v>
      </c>
    </row>
    <row r="193" spans="13:17" x14ac:dyDescent="0.3">
      <c r="M193" t="s">
        <v>13</v>
      </c>
      <c r="N193">
        <v>300000</v>
      </c>
      <c r="P193" s="4">
        <v>16320</v>
      </c>
      <c r="Q193" s="3">
        <v>88000</v>
      </c>
    </row>
    <row r="194" spans="13:17" x14ac:dyDescent="0.3">
      <c r="M194" t="s">
        <v>13</v>
      </c>
      <c r="N194">
        <v>250000</v>
      </c>
      <c r="P194" s="3">
        <v>12000</v>
      </c>
      <c r="Q194" s="4">
        <v>88000</v>
      </c>
    </row>
    <row r="195" spans="13:17" x14ac:dyDescent="0.3">
      <c r="M195" t="s">
        <v>13</v>
      </c>
      <c r="N195">
        <v>240000</v>
      </c>
      <c r="Q195" s="3">
        <v>87550</v>
      </c>
    </row>
    <row r="196" spans="13:17" x14ac:dyDescent="0.3">
      <c r="M196" t="s">
        <v>13</v>
      </c>
      <c r="N196">
        <v>200000</v>
      </c>
      <c r="Q196" s="4">
        <v>87000</v>
      </c>
    </row>
    <row r="197" spans="13:17" x14ac:dyDescent="0.3">
      <c r="M197" t="s">
        <v>13</v>
      </c>
      <c r="N197">
        <v>200000</v>
      </c>
      <c r="Q197" s="3">
        <v>86000</v>
      </c>
    </row>
    <row r="198" spans="13:17" x14ac:dyDescent="0.3">
      <c r="M198" t="s">
        <v>13</v>
      </c>
      <c r="N198">
        <v>200000</v>
      </c>
      <c r="Q198" s="4">
        <v>86000</v>
      </c>
    </row>
    <row r="199" spans="13:17" x14ac:dyDescent="0.3">
      <c r="M199" t="s">
        <v>13</v>
      </c>
      <c r="N199">
        <v>200000</v>
      </c>
      <c r="Q199" s="3">
        <v>85000</v>
      </c>
    </row>
    <row r="200" spans="13:17" x14ac:dyDescent="0.3">
      <c r="M200" t="s">
        <v>13</v>
      </c>
      <c r="N200">
        <v>180000</v>
      </c>
      <c r="Q200" s="4">
        <v>85000</v>
      </c>
    </row>
    <row r="201" spans="13:17" x14ac:dyDescent="0.3">
      <c r="M201" t="s">
        <v>13</v>
      </c>
      <c r="N201">
        <v>180000</v>
      </c>
      <c r="Q201" s="3">
        <v>85000</v>
      </c>
    </row>
    <row r="202" spans="13:17" x14ac:dyDescent="0.3">
      <c r="M202" t="s">
        <v>13</v>
      </c>
      <c r="N202">
        <v>172000</v>
      </c>
      <c r="Q202" s="4">
        <v>85000</v>
      </c>
    </row>
    <row r="203" spans="13:17" x14ac:dyDescent="0.3">
      <c r="M203" t="s">
        <v>13</v>
      </c>
      <c r="N203">
        <v>160000</v>
      </c>
      <c r="Q203" s="3">
        <v>85000</v>
      </c>
    </row>
    <row r="204" spans="13:17" x14ac:dyDescent="0.3">
      <c r="M204" t="s">
        <v>13</v>
      </c>
      <c r="N204">
        <v>156000</v>
      </c>
      <c r="Q204" s="4">
        <v>85000</v>
      </c>
    </row>
    <row r="205" spans="13:17" x14ac:dyDescent="0.3">
      <c r="M205" t="s">
        <v>13</v>
      </c>
      <c r="N205">
        <v>154000</v>
      </c>
      <c r="Q205" s="3">
        <v>85000</v>
      </c>
    </row>
    <row r="206" spans="13:17" x14ac:dyDescent="0.3">
      <c r="M206" t="s">
        <v>13</v>
      </c>
      <c r="N206">
        <v>151872</v>
      </c>
      <c r="Q206" s="4">
        <v>85000</v>
      </c>
    </row>
    <row r="207" spans="13:17" x14ac:dyDescent="0.3">
      <c r="M207" t="s">
        <v>13</v>
      </c>
      <c r="N207">
        <v>150000</v>
      </c>
      <c r="Q207" s="3">
        <v>85000</v>
      </c>
    </row>
    <row r="208" spans="13:17" x14ac:dyDescent="0.3">
      <c r="M208" t="s">
        <v>13</v>
      </c>
      <c r="N208">
        <v>150000</v>
      </c>
      <c r="Q208" s="4">
        <v>85000</v>
      </c>
    </row>
    <row r="209" spans="13:17" x14ac:dyDescent="0.3">
      <c r="M209" t="s">
        <v>13</v>
      </c>
      <c r="N209">
        <v>150000</v>
      </c>
      <c r="Q209" s="3">
        <v>85000</v>
      </c>
    </row>
    <row r="210" spans="13:17" x14ac:dyDescent="0.3">
      <c r="M210" t="s">
        <v>13</v>
      </c>
      <c r="N210">
        <v>150000</v>
      </c>
      <c r="Q210" s="4">
        <v>85000</v>
      </c>
    </row>
    <row r="211" spans="13:17" x14ac:dyDescent="0.3">
      <c r="M211" t="s">
        <v>13</v>
      </c>
      <c r="N211">
        <v>150000</v>
      </c>
      <c r="Q211" s="3">
        <v>85000</v>
      </c>
    </row>
    <row r="212" spans="13:17" x14ac:dyDescent="0.3">
      <c r="M212" t="s">
        <v>13</v>
      </c>
      <c r="N212">
        <v>140000</v>
      </c>
      <c r="Q212" s="4">
        <v>85000</v>
      </c>
    </row>
    <row r="213" spans="13:17" x14ac:dyDescent="0.3">
      <c r="M213" t="s">
        <v>13</v>
      </c>
      <c r="N213">
        <v>140000</v>
      </c>
      <c r="Q213" s="3">
        <v>85000</v>
      </c>
    </row>
    <row r="214" spans="13:17" x14ac:dyDescent="0.3">
      <c r="M214" t="s">
        <v>13</v>
      </c>
      <c r="N214">
        <v>135000</v>
      </c>
      <c r="Q214" s="4">
        <v>85000</v>
      </c>
    </row>
    <row r="215" spans="13:17" x14ac:dyDescent="0.3">
      <c r="M215" t="s">
        <v>13</v>
      </c>
      <c r="N215">
        <v>130000</v>
      </c>
      <c r="Q215" s="3">
        <v>85000</v>
      </c>
    </row>
    <row r="216" spans="13:17" x14ac:dyDescent="0.3">
      <c r="M216" t="s">
        <v>13</v>
      </c>
      <c r="N216">
        <v>130000</v>
      </c>
      <c r="Q216" s="4">
        <v>85000</v>
      </c>
    </row>
    <row r="217" spans="13:17" x14ac:dyDescent="0.3">
      <c r="M217" t="s">
        <v>13</v>
      </c>
      <c r="N217">
        <v>130000</v>
      </c>
      <c r="Q217" s="3">
        <v>85000</v>
      </c>
    </row>
    <row r="218" spans="13:17" x14ac:dyDescent="0.3">
      <c r="M218" t="s">
        <v>13</v>
      </c>
      <c r="N218">
        <v>130000</v>
      </c>
      <c r="Q218" s="4">
        <v>85000</v>
      </c>
    </row>
    <row r="219" spans="13:17" x14ac:dyDescent="0.3">
      <c r="M219" t="s">
        <v>13</v>
      </c>
      <c r="N219">
        <v>130000</v>
      </c>
      <c r="Q219" s="3">
        <v>85000</v>
      </c>
    </row>
    <row r="220" spans="13:17" x14ac:dyDescent="0.3">
      <c r="M220" t="s">
        <v>13</v>
      </c>
      <c r="N220">
        <v>124000</v>
      </c>
      <c r="Q220" s="4">
        <v>85000</v>
      </c>
    </row>
    <row r="221" spans="13:17" x14ac:dyDescent="0.3">
      <c r="M221" t="s">
        <v>13</v>
      </c>
      <c r="N221">
        <v>123600</v>
      </c>
      <c r="Q221" s="3">
        <v>85000</v>
      </c>
    </row>
    <row r="222" spans="13:17" x14ac:dyDescent="0.3">
      <c r="M222" t="s">
        <v>13</v>
      </c>
      <c r="N222">
        <v>122000</v>
      </c>
      <c r="Q222" s="4">
        <v>85000</v>
      </c>
    </row>
    <row r="223" spans="13:17" x14ac:dyDescent="0.3">
      <c r="M223" t="s">
        <v>13</v>
      </c>
      <c r="N223">
        <v>120000</v>
      </c>
      <c r="Q223" s="3">
        <v>85000</v>
      </c>
    </row>
    <row r="224" spans="13:17" x14ac:dyDescent="0.3">
      <c r="M224" t="s">
        <v>13</v>
      </c>
      <c r="N224">
        <v>120000</v>
      </c>
      <c r="Q224" s="4">
        <v>85000</v>
      </c>
    </row>
    <row r="225" spans="13:17" x14ac:dyDescent="0.3">
      <c r="M225" t="s">
        <v>13</v>
      </c>
      <c r="N225">
        <v>120000</v>
      </c>
      <c r="Q225" s="3">
        <v>85000</v>
      </c>
    </row>
    <row r="226" spans="13:17" x14ac:dyDescent="0.3">
      <c r="M226" t="s">
        <v>13</v>
      </c>
      <c r="N226">
        <v>120000</v>
      </c>
      <c r="Q226" s="4">
        <v>85000</v>
      </c>
    </row>
    <row r="227" spans="13:17" x14ac:dyDescent="0.3">
      <c r="M227" t="s">
        <v>13</v>
      </c>
      <c r="N227">
        <v>120000</v>
      </c>
      <c r="Q227" s="3">
        <v>85000</v>
      </c>
    </row>
    <row r="228" spans="13:17" x14ac:dyDescent="0.3">
      <c r="M228" t="s">
        <v>13</v>
      </c>
      <c r="N228">
        <v>120000</v>
      </c>
      <c r="Q228" s="4">
        <v>85000</v>
      </c>
    </row>
    <row r="229" spans="13:17" x14ac:dyDescent="0.3">
      <c r="M229" t="s">
        <v>13</v>
      </c>
      <c r="N229">
        <v>120000</v>
      </c>
      <c r="Q229" s="3">
        <v>85000</v>
      </c>
    </row>
    <row r="230" spans="13:17" x14ac:dyDescent="0.3">
      <c r="M230" t="s">
        <v>13</v>
      </c>
      <c r="N230">
        <v>120000</v>
      </c>
      <c r="Q230" s="4">
        <v>85000</v>
      </c>
    </row>
    <row r="231" spans="13:17" x14ac:dyDescent="0.3">
      <c r="M231" t="s">
        <v>13</v>
      </c>
      <c r="N231">
        <v>120000</v>
      </c>
      <c r="Q231" s="3">
        <v>85000</v>
      </c>
    </row>
    <row r="232" spans="13:17" x14ac:dyDescent="0.3">
      <c r="M232" t="s">
        <v>13</v>
      </c>
      <c r="N232">
        <v>120000</v>
      </c>
      <c r="Q232" s="4">
        <v>85000</v>
      </c>
    </row>
    <row r="233" spans="13:17" x14ac:dyDescent="0.3">
      <c r="M233" t="s">
        <v>13</v>
      </c>
      <c r="N233">
        <v>120000</v>
      </c>
      <c r="Q233" s="3">
        <v>85000</v>
      </c>
    </row>
    <row r="234" spans="13:17" x14ac:dyDescent="0.3">
      <c r="M234" t="s">
        <v>13</v>
      </c>
      <c r="N234">
        <v>115000</v>
      </c>
      <c r="Q234" s="4">
        <v>85000</v>
      </c>
    </row>
    <row r="235" spans="13:17" x14ac:dyDescent="0.3">
      <c r="M235" t="s">
        <v>13</v>
      </c>
      <c r="N235">
        <v>115000</v>
      </c>
      <c r="Q235" s="3">
        <v>85000</v>
      </c>
    </row>
    <row r="236" spans="13:17" x14ac:dyDescent="0.3">
      <c r="M236" t="s">
        <v>13</v>
      </c>
      <c r="N236">
        <v>115000</v>
      </c>
      <c r="Q236" s="4">
        <v>85000</v>
      </c>
    </row>
    <row r="237" spans="13:17" x14ac:dyDescent="0.3">
      <c r="M237" t="s">
        <v>13</v>
      </c>
      <c r="N237">
        <v>115000</v>
      </c>
      <c r="Q237" s="3">
        <v>85000</v>
      </c>
    </row>
    <row r="238" spans="13:17" x14ac:dyDescent="0.3">
      <c r="M238" t="s">
        <v>13</v>
      </c>
      <c r="N238">
        <v>115000</v>
      </c>
      <c r="Q238" s="4">
        <v>84700</v>
      </c>
    </row>
    <row r="239" spans="13:17" x14ac:dyDescent="0.3">
      <c r="M239" t="s">
        <v>13</v>
      </c>
      <c r="N239">
        <v>113000</v>
      </c>
      <c r="Q239" s="3">
        <v>84000</v>
      </c>
    </row>
    <row r="240" spans="13:17" x14ac:dyDescent="0.3">
      <c r="M240" t="s">
        <v>13</v>
      </c>
      <c r="N240">
        <v>110000</v>
      </c>
      <c r="Q240" s="4">
        <v>84000</v>
      </c>
    </row>
    <row r="241" spans="13:17" x14ac:dyDescent="0.3">
      <c r="M241" t="s">
        <v>13</v>
      </c>
      <c r="N241">
        <v>110000</v>
      </c>
      <c r="Q241" s="3">
        <v>84000</v>
      </c>
    </row>
    <row r="242" spans="13:17" x14ac:dyDescent="0.3">
      <c r="M242" t="s">
        <v>13</v>
      </c>
      <c r="N242">
        <v>110000</v>
      </c>
      <c r="Q242" s="4">
        <v>84000</v>
      </c>
    </row>
    <row r="243" spans="13:17" x14ac:dyDescent="0.3">
      <c r="M243" t="s">
        <v>13</v>
      </c>
      <c r="N243">
        <v>110000</v>
      </c>
      <c r="Q243" s="3">
        <v>83000</v>
      </c>
    </row>
    <row r="244" spans="13:17" x14ac:dyDescent="0.3">
      <c r="M244" t="s">
        <v>13</v>
      </c>
      <c r="N244">
        <v>110000</v>
      </c>
      <c r="Q244" s="4">
        <v>83000</v>
      </c>
    </row>
    <row r="245" spans="13:17" x14ac:dyDescent="0.3">
      <c r="M245" t="s">
        <v>13</v>
      </c>
      <c r="N245">
        <v>110000</v>
      </c>
      <c r="Q245" s="3">
        <v>83000</v>
      </c>
    </row>
    <row r="246" spans="13:17" x14ac:dyDescent="0.3">
      <c r="M246" t="s">
        <v>13</v>
      </c>
      <c r="N246">
        <v>110000</v>
      </c>
      <c r="Q246" s="4">
        <v>83000</v>
      </c>
    </row>
    <row r="247" spans="13:17" x14ac:dyDescent="0.3">
      <c r="M247" t="s">
        <v>13</v>
      </c>
      <c r="N247">
        <v>110000</v>
      </c>
      <c r="Q247" s="3">
        <v>83000</v>
      </c>
    </row>
    <row r="248" spans="13:17" x14ac:dyDescent="0.3">
      <c r="M248" t="s">
        <v>13</v>
      </c>
      <c r="N248">
        <v>110000</v>
      </c>
      <c r="Q248" s="4">
        <v>83000</v>
      </c>
    </row>
    <row r="249" spans="13:17" x14ac:dyDescent="0.3">
      <c r="M249" t="s">
        <v>13</v>
      </c>
      <c r="N249">
        <v>110000</v>
      </c>
      <c r="Q249" s="3">
        <v>83000</v>
      </c>
    </row>
    <row r="250" spans="13:17" x14ac:dyDescent="0.3">
      <c r="M250" t="s">
        <v>13</v>
      </c>
      <c r="N250">
        <v>110000</v>
      </c>
      <c r="Q250" s="4">
        <v>83000</v>
      </c>
    </row>
    <row r="251" spans="13:17" x14ac:dyDescent="0.3">
      <c r="M251" t="s">
        <v>13</v>
      </c>
      <c r="N251">
        <v>108500</v>
      </c>
      <c r="Q251" s="3">
        <v>83000</v>
      </c>
    </row>
    <row r="252" spans="13:17" x14ac:dyDescent="0.3">
      <c r="M252" t="s">
        <v>13</v>
      </c>
      <c r="N252">
        <v>108000</v>
      </c>
      <c r="Q252" s="4">
        <v>83000</v>
      </c>
    </row>
    <row r="253" spans="13:17" x14ac:dyDescent="0.3">
      <c r="M253" t="s">
        <v>13</v>
      </c>
      <c r="N253">
        <v>107000</v>
      </c>
      <c r="Q253" s="3">
        <v>82500</v>
      </c>
    </row>
    <row r="254" spans="13:17" x14ac:dyDescent="0.3">
      <c r="M254" t="s">
        <v>13</v>
      </c>
      <c r="N254">
        <v>106000</v>
      </c>
      <c r="Q254" s="4">
        <v>82000</v>
      </c>
    </row>
    <row r="255" spans="13:17" x14ac:dyDescent="0.3">
      <c r="M255" t="s">
        <v>13</v>
      </c>
      <c r="N255">
        <v>105000</v>
      </c>
      <c r="Q255" s="3">
        <v>82000</v>
      </c>
    </row>
    <row r="256" spans="13:17" x14ac:dyDescent="0.3">
      <c r="M256" t="s">
        <v>13</v>
      </c>
      <c r="N256">
        <v>105000</v>
      </c>
      <c r="Q256" s="4">
        <v>82000</v>
      </c>
    </row>
    <row r="257" spans="13:17" x14ac:dyDescent="0.3">
      <c r="M257" t="s">
        <v>13</v>
      </c>
      <c r="N257">
        <v>105000</v>
      </c>
      <c r="Q257" s="3">
        <v>82000</v>
      </c>
    </row>
    <row r="258" spans="13:17" x14ac:dyDescent="0.3">
      <c r="M258" t="s">
        <v>13</v>
      </c>
      <c r="N258">
        <v>105000</v>
      </c>
      <c r="Q258" s="4">
        <v>82000</v>
      </c>
    </row>
    <row r="259" spans="13:17" x14ac:dyDescent="0.3">
      <c r="M259" t="s">
        <v>13</v>
      </c>
      <c r="N259">
        <v>105000</v>
      </c>
      <c r="Q259" s="3">
        <v>82000</v>
      </c>
    </row>
    <row r="260" spans="13:17" x14ac:dyDescent="0.3">
      <c r="M260" t="s">
        <v>13</v>
      </c>
      <c r="N260">
        <v>105000</v>
      </c>
      <c r="Q260" s="4">
        <v>82000</v>
      </c>
    </row>
    <row r="261" spans="13:17" x14ac:dyDescent="0.3">
      <c r="M261" t="s">
        <v>13</v>
      </c>
      <c r="N261">
        <v>105000</v>
      </c>
      <c r="Q261" s="3">
        <v>82000</v>
      </c>
    </row>
    <row r="262" spans="13:17" x14ac:dyDescent="0.3">
      <c r="M262" t="s">
        <v>13</v>
      </c>
      <c r="N262">
        <v>103000</v>
      </c>
      <c r="Q262" s="4">
        <v>82000</v>
      </c>
    </row>
    <row r="263" spans="13:17" x14ac:dyDescent="0.3">
      <c r="M263" t="s">
        <v>13</v>
      </c>
      <c r="N263">
        <v>103000</v>
      </c>
      <c r="Q263" s="3">
        <v>82000</v>
      </c>
    </row>
    <row r="264" spans="13:17" x14ac:dyDescent="0.3">
      <c r="M264" t="s">
        <v>13</v>
      </c>
      <c r="N264">
        <v>102000</v>
      </c>
      <c r="Q264" s="4">
        <v>82000</v>
      </c>
    </row>
    <row r="265" spans="13:17" x14ac:dyDescent="0.3">
      <c r="M265" t="s">
        <v>13</v>
      </c>
      <c r="N265">
        <v>100000</v>
      </c>
      <c r="Q265" s="3">
        <v>81900</v>
      </c>
    </row>
    <row r="266" spans="13:17" x14ac:dyDescent="0.3">
      <c r="M266" t="s">
        <v>13</v>
      </c>
      <c r="N266">
        <v>100000</v>
      </c>
      <c r="Q266" s="4">
        <v>81500</v>
      </c>
    </row>
    <row r="267" spans="13:17" x14ac:dyDescent="0.3">
      <c r="M267" t="s">
        <v>13</v>
      </c>
      <c r="N267">
        <v>100000</v>
      </c>
      <c r="Q267" s="3">
        <v>81200</v>
      </c>
    </row>
    <row r="268" spans="13:17" x14ac:dyDescent="0.3">
      <c r="M268" t="s">
        <v>13</v>
      </c>
      <c r="N268">
        <v>100000</v>
      </c>
      <c r="Q268" s="4">
        <v>81000</v>
      </c>
    </row>
    <row r="269" spans="13:17" x14ac:dyDescent="0.3">
      <c r="M269" t="s">
        <v>13</v>
      </c>
      <c r="N269">
        <v>100000</v>
      </c>
      <c r="Q269" s="3">
        <v>81000</v>
      </c>
    </row>
    <row r="270" spans="13:17" x14ac:dyDescent="0.3">
      <c r="M270" t="s">
        <v>13</v>
      </c>
      <c r="N270">
        <v>100000</v>
      </c>
      <c r="Q270" s="4">
        <v>81000</v>
      </c>
    </row>
    <row r="271" spans="13:17" x14ac:dyDescent="0.3">
      <c r="M271" t="s">
        <v>13</v>
      </c>
      <c r="N271">
        <v>100000</v>
      </c>
      <c r="Q271" s="3">
        <v>81000</v>
      </c>
    </row>
    <row r="272" spans="13:17" x14ac:dyDescent="0.3">
      <c r="M272" t="s">
        <v>13</v>
      </c>
      <c r="N272">
        <v>100000</v>
      </c>
      <c r="Q272" s="4">
        <v>81000</v>
      </c>
    </row>
    <row r="273" spans="13:17" x14ac:dyDescent="0.3">
      <c r="M273" t="s">
        <v>13</v>
      </c>
      <c r="N273">
        <v>100000</v>
      </c>
      <c r="Q273" s="3">
        <v>81000</v>
      </c>
    </row>
    <row r="274" spans="13:17" x14ac:dyDescent="0.3">
      <c r="M274" t="s">
        <v>13</v>
      </c>
      <c r="N274">
        <v>100000</v>
      </c>
      <c r="Q274" s="4">
        <v>80000</v>
      </c>
    </row>
    <row r="275" spans="13:17" x14ac:dyDescent="0.3">
      <c r="M275" t="s">
        <v>13</v>
      </c>
      <c r="N275">
        <v>100000</v>
      </c>
      <c r="Q275" s="3">
        <v>80000</v>
      </c>
    </row>
    <row r="276" spans="13:17" x14ac:dyDescent="0.3">
      <c r="M276" t="s">
        <v>13</v>
      </c>
      <c r="N276">
        <v>100000</v>
      </c>
      <c r="Q276" s="4">
        <v>80000</v>
      </c>
    </row>
    <row r="277" spans="13:17" x14ac:dyDescent="0.3">
      <c r="M277" t="s">
        <v>13</v>
      </c>
      <c r="N277">
        <v>100000</v>
      </c>
      <c r="Q277" s="3">
        <v>80000</v>
      </c>
    </row>
    <row r="278" spans="13:17" x14ac:dyDescent="0.3">
      <c r="M278" t="s">
        <v>13</v>
      </c>
      <c r="N278">
        <v>100000</v>
      </c>
      <c r="Q278" s="4">
        <v>80000</v>
      </c>
    </row>
    <row r="279" spans="13:17" x14ac:dyDescent="0.3">
      <c r="M279" t="s">
        <v>13</v>
      </c>
      <c r="N279">
        <v>100000</v>
      </c>
      <c r="Q279" s="3">
        <v>80000</v>
      </c>
    </row>
    <row r="280" spans="13:17" x14ac:dyDescent="0.3">
      <c r="M280" t="s">
        <v>13</v>
      </c>
      <c r="N280">
        <v>100000</v>
      </c>
      <c r="Q280" s="4">
        <v>80000</v>
      </c>
    </row>
    <row r="281" spans="13:17" x14ac:dyDescent="0.3">
      <c r="M281" t="s">
        <v>13</v>
      </c>
      <c r="N281">
        <v>100000</v>
      </c>
      <c r="Q281" s="3">
        <v>80000</v>
      </c>
    </row>
    <row r="282" spans="13:17" x14ac:dyDescent="0.3">
      <c r="M282" t="s">
        <v>13</v>
      </c>
      <c r="N282">
        <v>100000</v>
      </c>
      <c r="Q282" s="4">
        <v>80000</v>
      </c>
    </row>
    <row r="283" spans="13:17" x14ac:dyDescent="0.3">
      <c r="M283" t="s">
        <v>13</v>
      </c>
      <c r="N283">
        <v>100000</v>
      </c>
      <c r="Q283" s="3">
        <v>80000</v>
      </c>
    </row>
    <row r="284" spans="13:17" x14ac:dyDescent="0.3">
      <c r="M284" t="s">
        <v>13</v>
      </c>
      <c r="N284">
        <v>100000</v>
      </c>
      <c r="Q284" s="4">
        <v>80000</v>
      </c>
    </row>
    <row r="285" spans="13:17" x14ac:dyDescent="0.3">
      <c r="M285" t="s">
        <v>13</v>
      </c>
      <c r="N285">
        <v>100000</v>
      </c>
      <c r="Q285" s="3">
        <v>80000</v>
      </c>
    </row>
    <row r="286" spans="13:17" x14ac:dyDescent="0.3">
      <c r="M286" t="s">
        <v>13</v>
      </c>
      <c r="N286">
        <v>100000</v>
      </c>
      <c r="Q286" s="4">
        <v>80000</v>
      </c>
    </row>
    <row r="287" spans="13:17" x14ac:dyDescent="0.3">
      <c r="M287" t="s">
        <v>13</v>
      </c>
      <c r="N287">
        <v>100000</v>
      </c>
      <c r="Q287" s="3">
        <v>80000</v>
      </c>
    </row>
    <row r="288" spans="13:17" x14ac:dyDescent="0.3">
      <c r="M288" t="s">
        <v>13</v>
      </c>
      <c r="N288">
        <v>100000</v>
      </c>
      <c r="Q288" s="4">
        <v>80000</v>
      </c>
    </row>
    <row r="289" spans="13:17" x14ac:dyDescent="0.3">
      <c r="M289" t="s">
        <v>13</v>
      </c>
      <c r="N289">
        <v>100000</v>
      </c>
      <c r="Q289" s="3">
        <v>80000</v>
      </c>
    </row>
    <row r="290" spans="13:17" x14ac:dyDescent="0.3">
      <c r="M290" t="s">
        <v>13</v>
      </c>
      <c r="N290">
        <v>100000</v>
      </c>
      <c r="Q290" s="4">
        <v>80000</v>
      </c>
    </row>
    <row r="291" spans="13:17" x14ac:dyDescent="0.3">
      <c r="M291" t="s">
        <v>13</v>
      </c>
      <c r="N291">
        <v>100000</v>
      </c>
      <c r="Q291" s="3">
        <v>80000</v>
      </c>
    </row>
    <row r="292" spans="13:17" x14ac:dyDescent="0.3">
      <c r="M292" t="s">
        <v>13</v>
      </c>
      <c r="N292">
        <v>100000</v>
      </c>
      <c r="Q292" s="4">
        <v>80000</v>
      </c>
    </row>
    <row r="293" spans="13:17" x14ac:dyDescent="0.3">
      <c r="M293" t="s">
        <v>13</v>
      </c>
      <c r="N293">
        <v>99000</v>
      </c>
      <c r="Q293" s="3">
        <v>80000</v>
      </c>
    </row>
    <row r="294" spans="13:17" x14ac:dyDescent="0.3">
      <c r="M294" t="s">
        <v>13</v>
      </c>
      <c r="N294">
        <v>99000</v>
      </c>
      <c r="Q294" s="4">
        <v>80000</v>
      </c>
    </row>
    <row r="295" spans="13:17" x14ac:dyDescent="0.3">
      <c r="M295" t="s">
        <v>13</v>
      </c>
      <c r="N295">
        <v>99000</v>
      </c>
      <c r="Q295" s="3">
        <v>80000</v>
      </c>
    </row>
    <row r="296" spans="13:17" x14ac:dyDescent="0.3">
      <c r="M296" t="s">
        <v>13</v>
      </c>
      <c r="N296">
        <v>98000</v>
      </c>
      <c r="Q296" s="4">
        <v>80000</v>
      </c>
    </row>
    <row r="297" spans="13:17" x14ac:dyDescent="0.3">
      <c r="M297" t="s">
        <v>13</v>
      </c>
      <c r="N297">
        <v>98000</v>
      </c>
      <c r="Q297" s="3">
        <v>80000</v>
      </c>
    </row>
    <row r="298" spans="13:17" x14ac:dyDescent="0.3">
      <c r="M298" t="s">
        <v>13</v>
      </c>
      <c r="N298">
        <v>96000</v>
      </c>
      <c r="Q298" s="4">
        <v>80000</v>
      </c>
    </row>
    <row r="299" spans="13:17" x14ac:dyDescent="0.3">
      <c r="M299" t="s">
        <v>13</v>
      </c>
      <c r="N299">
        <v>96000</v>
      </c>
      <c r="Q299" s="3">
        <v>80000</v>
      </c>
    </row>
    <row r="300" spans="13:17" x14ac:dyDescent="0.3">
      <c r="M300" t="s">
        <v>13</v>
      </c>
      <c r="N300">
        <v>95500</v>
      </c>
      <c r="Q300" s="4">
        <v>80000</v>
      </c>
    </row>
    <row r="301" spans="13:17" x14ac:dyDescent="0.3">
      <c r="M301" t="s">
        <v>13</v>
      </c>
      <c r="N301">
        <v>95000</v>
      </c>
      <c r="Q301" s="3">
        <v>80000</v>
      </c>
    </row>
    <row r="302" spans="13:17" x14ac:dyDescent="0.3">
      <c r="M302" t="s">
        <v>13</v>
      </c>
      <c r="N302">
        <v>95000</v>
      </c>
      <c r="Q302" s="4">
        <v>80000</v>
      </c>
    </row>
    <row r="303" spans="13:17" x14ac:dyDescent="0.3">
      <c r="M303" t="s">
        <v>13</v>
      </c>
      <c r="N303">
        <v>95000</v>
      </c>
      <c r="Q303" s="3">
        <v>80000</v>
      </c>
    </row>
    <row r="304" spans="13:17" x14ac:dyDescent="0.3">
      <c r="M304" t="s">
        <v>13</v>
      </c>
      <c r="N304">
        <v>95000</v>
      </c>
      <c r="Q304" s="4">
        <v>80000</v>
      </c>
    </row>
    <row r="305" spans="13:17" x14ac:dyDescent="0.3">
      <c r="M305" t="s">
        <v>13</v>
      </c>
      <c r="N305">
        <v>95000</v>
      </c>
      <c r="Q305" s="3">
        <v>80000</v>
      </c>
    </row>
    <row r="306" spans="13:17" x14ac:dyDescent="0.3">
      <c r="M306" t="s">
        <v>13</v>
      </c>
      <c r="N306">
        <v>95000</v>
      </c>
      <c r="Q306" s="4">
        <v>80000</v>
      </c>
    </row>
    <row r="307" spans="13:17" x14ac:dyDescent="0.3">
      <c r="M307" t="s">
        <v>13</v>
      </c>
      <c r="N307">
        <v>95000</v>
      </c>
      <c r="Q307" s="3">
        <v>80000</v>
      </c>
    </row>
    <row r="308" spans="13:17" x14ac:dyDescent="0.3">
      <c r="M308" t="s">
        <v>13</v>
      </c>
      <c r="N308">
        <v>95000</v>
      </c>
      <c r="Q308" s="4">
        <v>80000</v>
      </c>
    </row>
    <row r="309" spans="13:17" x14ac:dyDescent="0.3">
      <c r="M309" t="s">
        <v>13</v>
      </c>
      <c r="N309">
        <v>95000</v>
      </c>
      <c r="Q309" s="3">
        <v>80000</v>
      </c>
    </row>
    <row r="310" spans="13:17" x14ac:dyDescent="0.3">
      <c r="M310" t="s">
        <v>13</v>
      </c>
      <c r="N310">
        <v>95000</v>
      </c>
      <c r="Q310" s="4">
        <v>80000</v>
      </c>
    </row>
    <row r="311" spans="13:17" x14ac:dyDescent="0.3">
      <c r="M311" t="s">
        <v>13</v>
      </c>
      <c r="N311">
        <v>95000</v>
      </c>
      <c r="Q311" s="3">
        <v>80000</v>
      </c>
    </row>
    <row r="312" spans="13:17" x14ac:dyDescent="0.3">
      <c r="M312" t="s">
        <v>13</v>
      </c>
      <c r="N312">
        <v>95000</v>
      </c>
      <c r="Q312" s="4">
        <v>80000</v>
      </c>
    </row>
    <row r="313" spans="13:17" x14ac:dyDescent="0.3">
      <c r="M313" t="s">
        <v>13</v>
      </c>
      <c r="N313">
        <v>95000</v>
      </c>
      <c r="Q313" s="3">
        <v>80000</v>
      </c>
    </row>
    <row r="314" spans="13:17" x14ac:dyDescent="0.3">
      <c r="M314" t="s">
        <v>13</v>
      </c>
      <c r="N314">
        <v>95000</v>
      </c>
      <c r="Q314" s="4">
        <v>80000</v>
      </c>
    </row>
    <row r="315" spans="13:17" x14ac:dyDescent="0.3">
      <c r="M315" t="s">
        <v>13</v>
      </c>
      <c r="N315">
        <v>95000</v>
      </c>
      <c r="Q315" s="3">
        <v>80000</v>
      </c>
    </row>
    <row r="316" spans="13:17" x14ac:dyDescent="0.3">
      <c r="M316" t="s">
        <v>13</v>
      </c>
      <c r="N316">
        <v>95000</v>
      </c>
      <c r="Q316" s="4">
        <v>80000</v>
      </c>
    </row>
    <row r="317" spans="13:17" x14ac:dyDescent="0.3">
      <c r="M317" t="s">
        <v>13</v>
      </c>
      <c r="N317">
        <v>95000</v>
      </c>
      <c r="Q317" s="3">
        <v>80000</v>
      </c>
    </row>
    <row r="318" spans="13:17" x14ac:dyDescent="0.3">
      <c r="M318" t="s">
        <v>13</v>
      </c>
      <c r="N318">
        <v>95000</v>
      </c>
      <c r="Q318" s="4">
        <v>80000</v>
      </c>
    </row>
    <row r="319" spans="13:17" x14ac:dyDescent="0.3">
      <c r="M319" t="s">
        <v>13</v>
      </c>
      <c r="N319">
        <v>95000</v>
      </c>
      <c r="Q319" s="3">
        <v>80000</v>
      </c>
    </row>
    <row r="320" spans="13:17" x14ac:dyDescent="0.3">
      <c r="M320" t="s">
        <v>13</v>
      </c>
      <c r="N320">
        <v>95000</v>
      </c>
      <c r="Q320" s="4">
        <v>80000</v>
      </c>
    </row>
    <row r="321" spans="13:17" x14ac:dyDescent="0.3">
      <c r="M321" t="s">
        <v>13</v>
      </c>
      <c r="N321">
        <v>95000</v>
      </c>
      <c r="Q321" s="3">
        <v>80000</v>
      </c>
    </row>
    <row r="322" spans="13:17" x14ac:dyDescent="0.3">
      <c r="M322" t="s">
        <v>13</v>
      </c>
      <c r="N322">
        <v>95000</v>
      </c>
      <c r="Q322" s="4">
        <v>80000</v>
      </c>
    </row>
    <row r="323" spans="13:17" x14ac:dyDescent="0.3">
      <c r="M323" t="s">
        <v>13</v>
      </c>
      <c r="N323">
        <v>94000</v>
      </c>
      <c r="Q323" s="3">
        <v>80000</v>
      </c>
    </row>
    <row r="324" spans="13:17" x14ac:dyDescent="0.3">
      <c r="M324" t="s">
        <v>13</v>
      </c>
      <c r="N324">
        <v>93000</v>
      </c>
      <c r="Q324" s="4">
        <v>80000</v>
      </c>
    </row>
    <row r="325" spans="13:17" x14ac:dyDescent="0.3">
      <c r="M325" t="s">
        <v>13</v>
      </c>
      <c r="N325">
        <v>93000</v>
      </c>
      <c r="Q325" s="3">
        <v>80000</v>
      </c>
    </row>
    <row r="326" spans="13:17" x14ac:dyDescent="0.3">
      <c r="M326" t="s">
        <v>13</v>
      </c>
      <c r="N326">
        <v>93000</v>
      </c>
      <c r="Q326" s="4">
        <v>80000</v>
      </c>
    </row>
    <row r="327" spans="13:17" x14ac:dyDescent="0.3">
      <c r="M327" t="s">
        <v>13</v>
      </c>
      <c r="N327">
        <v>93000</v>
      </c>
      <c r="Q327" s="3">
        <v>80000</v>
      </c>
    </row>
    <row r="328" spans="13:17" x14ac:dyDescent="0.3">
      <c r="M328" t="s">
        <v>13</v>
      </c>
      <c r="N328">
        <v>92500</v>
      </c>
      <c r="Q328" s="4">
        <v>80000</v>
      </c>
    </row>
    <row r="329" spans="13:17" x14ac:dyDescent="0.3">
      <c r="M329" t="s">
        <v>13</v>
      </c>
      <c r="N329">
        <v>92000</v>
      </c>
      <c r="Q329" s="3">
        <v>80000</v>
      </c>
    </row>
    <row r="330" spans="13:17" x14ac:dyDescent="0.3">
      <c r="M330" t="s">
        <v>13</v>
      </c>
      <c r="N330">
        <v>92000</v>
      </c>
      <c r="Q330" s="4">
        <v>80000</v>
      </c>
    </row>
    <row r="331" spans="13:17" x14ac:dyDescent="0.3">
      <c r="M331" t="s">
        <v>13</v>
      </c>
      <c r="N331">
        <v>92000</v>
      </c>
      <c r="Q331" s="3">
        <v>80000</v>
      </c>
    </row>
    <row r="332" spans="13:17" x14ac:dyDescent="0.3">
      <c r="M332" t="s">
        <v>13</v>
      </c>
      <c r="N332">
        <v>92000</v>
      </c>
      <c r="Q332" s="4">
        <v>80000</v>
      </c>
    </row>
    <row r="333" spans="13:17" x14ac:dyDescent="0.3">
      <c r="M333" t="s">
        <v>13</v>
      </c>
      <c r="N333">
        <v>91000</v>
      </c>
      <c r="Q333" s="3">
        <v>80000</v>
      </c>
    </row>
    <row r="334" spans="13:17" x14ac:dyDescent="0.3">
      <c r="M334" t="s">
        <v>13</v>
      </c>
      <c r="N334">
        <v>90000</v>
      </c>
      <c r="Q334" s="4">
        <v>80000</v>
      </c>
    </row>
    <row r="335" spans="13:17" x14ac:dyDescent="0.3">
      <c r="M335" t="s">
        <v>13</v>
      </c>
      <c r="N335">
        <v>90000</v>
      </c>
      <c r="Q335" s="3">
        <v>80000</v>
      </c>
    </row>
    <row r="336" spans="13:17" x14ac:dyDescent="0.3">
      <c r="M336" t="s">
        <v>13</v>
      </c>
      <c r="N336">
        <v>90000</v>
      </c>
      <c r="Q336" s="4">
        <v>80000</v>
      </c>
    </row>
    <row r="337" spans="13:17" x14ac:dyDescent="0.3">
      <c r="M337" t="s">
        <v>13</v>
      </c>
      <c r="N337">
        <v>90000</v>
      </c>
      <c r="Q337" s="3">
        <v>79300</v>
      </c>
    </row>
    <row r="338" spans="13:17" x14ac:dyDescent="0.3">
      <c r="M338" t="s">
        <v>13</v>
      </c>
      <c r="N338">
        <v>90000</v>
      </c>
      <c r="Q338" s="4">
        <v>79000</v>
      </c>
    </row>
    <row r="339" spans="13:17" x14ac:dyDescent="0.3">
      <c r="M339" t="s">
        <v>13</v>
      </c>
      <c r="N339">
        <v>90000</v>
      </c>
      <c r="Q339" s="3">
        <v>79000</v>
      </c>
    </row>
    <row r="340" spans="13:17" x14ac:dyDescent="0.3">
      <c r="M340" t="s">
        <v>13</v>
      </c>
      <c r="N340">
        <v>90000</v>
      </c>
      <c r="Q340" s="4">
        <v>79000</v>
      </c>
    </row>
    <row r="341" spans="13:17" x14ac:dyDescent="0.3">
      <c r="M341" t="s">
        <v>13</v>
      </c>
      <c r="N341">
        <v>90000</v>
      </c>
      <c r="Q341" s="3">
        <v>79000</v>
      </c>
    </row>
    <row r="342" spans="13:17" x14ac:dyDescent="0.3">
      <c r="M342" t="s">
        <v>13</v>
      </c>
      <c r="N342">
        <v>90000</v>
      </c>
      <c r="Q342" s="4">
        <v>79000</v>
      </c>
    </row>
    <row r="343" spans="13:17" x14ac:dyDescent="0.3">
      <c r="M343" t="s">
        <v>13</v>
      </c>
      <c r="N343">
        <v>90000</v>
      </c>
      <c r="Q343" s="3">
        <v>79000</v>
      </c>
    </row>
    <row r="344" spans="13:17" x14ac:dyDescent="0.3">
      <c r="M344" t="s">
        <v>13</v>
      </c>
      <c r="N344">
        <v>90000</v>
      </c>
      <c r="Q344" s="4">
        <v>78600</v>
      </c>
    </row>
    <row r="345" spans="13:17" x14ac:dyDescent="0.3">
      <c r="M345" t="s">
        <v>13</v>
      </c>
      <c r="N345">
        <v>90000</v>
      </c>
      <c r="Q345" s="3">
        <v>78500</v>
      </c>
    </row>
    <row r="346" spans="13:17" x14ac:dyDescent="0.3">
      <c r="M346" t="s">
        <v>13</v>
      </c>
      <c r="N346">
        <v>90000</v>
      </c>
      <c r="Q346" s="4">
        <v>78000</v>
      </c>
    </row>
    <row r="347" spans="13:17" x14ac:dyDescent="0.3">
      <c r="M347" t="s">
        <v>13</v>
      </c>
      <c r="N347">
        <v>90000</v>
      </c>
      <c r="Q347" s="3">
        <v>78000</v>
      </c>
    </row>
    <row r="348" spans="13:17" x14ac:dyDescent="0.3">
      <c r="M348" t="s">
        <v>13</v>
      </c>
      <c r="N348">
        <v>90000</v>
      </c>
      <c r="Q348" s="4">
        <v>78000</v>
      </c>
    </row>
    <row r="349" spans="13:17" x14ac:dyDescent="0.3">
      <c r="M349" t="s">
        <v>13</v>
      </c>
      <c r="N349">
        <v>90000</v>
      </c>
      <c r="Q349" s="3">
        <v>78000</v>
      </c>
    </row>
    <row r="350" spans="13:17" x14ac:dyDescent="0.3">
      <c r="M350" t="s">
        <v>13</v>
      </c>
      <c r="N350">
        <v>90000</v>
      </c>
      <c r="Q350" s="4">
        <v>78000</v>
      </c>
    </row>
    <row r="351" spans="13:17" x14ac:dyDescent="0.3">
      <c r="M351" t="s">
        <v>13</v>
      </c>
      <c r="N351">
        <v>90000</v>
      </c>
      <c r="Q351" s="3">
        <v>78000</v>
      </c>
    </row>
    <row r="352" spans="13:17" x14ac:dyDescent="0.3">
      <c r="M352" t="s">
        <v>13</v>
      </c>
      <c r="N352">
        <v>90000</v>
      </c>
      <c r="Q352" s="4">
        <v>78000</v>
      </c>
    </row>
    <row r="353" spans="13:17" x14ac:dyDescent="0.3">
      <c r="M353" t="s">
        <v>13</v>
      </c>
      <c r="N353">
        <v>90000</v>
      </c>
      <c r="Q353" s="3">
        <v>78000</v>
      </c>
    </row>
    <row r="354" spans="13:17" x14ac:dyDescent="0.3">
      <c r="M354" t="s">
        <v>13</v>
      </c>
      <c r="N354">
        <v>90000</v>
      </c>
      <c r="Q354" s="4">
        <v>78000</v>
      </c>
    </row>
    <row r="355" spans="13:17" x14ac:dyDescent="0.3">
      <c r="M355" t="s">
        <v>13</v>
      </c>
      <c r="N355">
        <v>90000</v>
      </c>
      <c r="Q355" s="3">
        <v>78000</v>
      </c>
    </row>
    <row r="356" spans="13:17" x14ac:dyDescent="0.3">
      <c r="M356" t="s">
        <v>13</v>
      </c>
      <c r="N356">
        <v>90000</v>
      </c>
      <c r="Q356" s="4">
        <v>78000</v>
      </c>
    </row>
    <row r="357" spans="13:17" x14ac:dyDescent="0.3">
      <c r="M357" t="s">
        <v>13</v>
      </c>
      <c r="N357">
        <v>90000</v>
      </c>
      <c r="Q357" s="3">
        <v>78000</v>
      </c>
    </row>
    <row r="358" spans="13:17" x14ac:dyDescent="0.3">
      <c r="M358" t="s">
        <v>13</v>
      </c>
      <c r="N358">
        <v>90000</v>
      </c>
      <c r="Q358" s="4">
        <v>78000</v>
      </c>
    </row>
    <row r="359" spans="13:17" x14ac:dyDescent="0.3">
      <c r="M359" t="s">
        <v>13</v>
      </c>
      <c r="N359">
        <v>90000</v>
      </c>
      <c r="Q359" s="3">
        <v>78000</v>
      </c>
    </row>
    <row r="360" spans="13:17" x14ac:dyDescent="0.3">
      <c r="M360" t="s">
        <v>13</v>
      </c>
      <c r="N360">
        <v>90000</v>
      </c>
      <c r="Q360" s="4">
        <v>78000</v>
      </c>
    </row>
    <row r="361" spans="13:17" x14ac:dyDescent="0.3">
      <c r="M361" t="s">
        <v>13</v>
      </c>
      <c r="N361">
        <v>90000</v>
      </c>
      <c r="Q361" s="3">
        <v>78000</v>
      </c>
    </row>
    <row r="362" spans="13:17" x14ac:dyDescent="0.3">
      <c r="M362" t="s">
        <v>13</v>
      </c>
      <c r="N362">
        <v>90000</v>
      </c>
      <c r="Q362" s="4">
        <v>78000</v>
      </c>
    </row>
    <row r="363" spans="13:17" x14ac:dyDescent="0.3">
      <c r="M363" t="s">
        <v>13</v>
      </c>
      <c r="N363">
        <v>90000</v>
      </c>
      <c r="Q363" s="3">
        <v>77600</v>
      </c>
    </row>
    <row r="364" spans="13:17" x14ac:dyDescent="0.3">
      <c r="M364" t="s">
        <v>13</v>
      </c>
      <c r="N364">
        <v>90000</v>
      </c>
      <c r="Q364" s="4">
        <v>77500</v>
      </c>
    </row>
    <row r="365" spans="13:17" x14ac:dyDescent="0.3">
      <c r="M365" t="s">
        <v>13</v>
      </c>
      <c r="N365">
        <v>90000</v>
      </c>
      <c r="Q365" s="3">
        <v>77250</v>
      </c>
    </row>
    <row r="366" spans="13:17" x14ac:dyDescent="0.3">
      <c r="M366" t="s">
        <v>13</v>
      </c>
      <c r="N366">
        <v>90000</v>
      </c>
      <c r="Q366" s="4">
        <v>77000</v>
      </c>
    </row>
    <row r="367" spans="13:17" x14ac:dyDescent="0.3">
      <c r="M367" t="s">
        <v>13</v>
      </c>
      <c r="N367">
        <v>90000</v>
      </c>
      <c r="Q367" s="3">
        <v>77000</v>
      </c>
    </row>
    <row r="368" spans="13:17" x14ac:dyDescent="0.3">
      <c r="M368" t="s">
        <v>13</v>
      </c>
      <c r="N368">
        <v>90000</v>
      </c>
      <c r="Q368" s="4">
        <v>77000</v>
      </c>
    </row>
    <row r="369" spans="13:17" x14ac:dyDescent="0.3">
      <c r="M369" t="s">
        <v>13</v>
      </c>
      <c r="N369">
        <v>90000</v>
      </c>
      <c r="Q369" s="3">
        <v>77000</v>
      </c>
    </row>
    <row r="370" spans="13:17" x14ac:dyDescent="0.3">
      <c r="M370" t="s">
        <v>13</v>
      </c>
      <c r="N370">
        <v>90000</v>
      </c>
      <c r="Q370" s="4">
        <v>77000</v>
      </c>
    </row>
    <row r="371" spans="13:17" x14ac:dyDescent="0.3">
      <c r="M371" t="s">
        <v>13</v>
      </c>
      <c r="N371">
        <v>90000</v>
      </c>
      <c r="Q371" s="3">
        <v>77000</v>
      </c>
    </row>
    <row r="372" spans="13:17" x14ac:dyDescent="0.3">
      <c r="M372" t="s">
        <v>13</v>
      </c>
      <c r="N372">
        <v>90000</v>
      </c>
      <c r="Q372" s="4">
        <v>77000</v>
      </c>
    </row>
    <row r="373" spans="13:17" x14ac:dyDescent="0.3">
      <c r="M373" t="s">
        <v>13</v>
      </c>
      <c r="N373">
        <v>90000</v>
      </c>
      <c r="Q373" s="3">
        <v>77000</v>
      </c>
    </row>
    <row r="374" spans="13:17" x14ac:dyDescent="0.3">
      <c r="M374" t="s">
        <v>13</v>
      </c>
      <c r="N374">
        <v>90000</v>
      </c>
      <c r="Q374" s="4">
        <v>77000</v>
      </c>
    </row>
    <row r="375" spans="13:17" x14ac:dyDescent="0.3">
      <c r="M375" t="s">
        <v>13</v>
      </c>
      <c r="N375">
        <v>90000</v>
      </c>
      <c r="Q375" s="3">
        <v>77000</v>
      </c>
    </row>
    <row r="376" spans="13:17" x14ac:dyDescent="0.3">
      <c r="M376" t="s">
        <v>13</v>
      </c>
      <c r="N376">
        <v>90000</v>
      </c>
      <c r="Q376" s="4">
        <v>77000</v>
      </c>
    </row>
    <row r="377" spans="13:17" x14ac:dyDescent="0.3">
      <c r="M377" t="s">
        <v>13</v>
      </c>
      <c r="N377">
        <v>90000</v>
      </c>
      <c r="Q377" s="3">
        <v>77000</v>
      </c>
    </row>
    <row r="378" spans="13:17" x14ac:dyDescent="0.3">
      <c r="M378" t="s">
        <v>13</v>
      </c>
      <c r="N378">
        <v>89570</v>
      </c>
      <c r="Q378" s="4">
        <v>76900</v>
      </c>
    </row>
    <row r="379" spans="13:17" x14ac:dyDescent="0.3">
      <c r="M379" t="s">
        <v>13</v>
      </c>
      <c r="N379">
        <v>89200</v>
      </c>
      <c r="Q379" s="3">
        <v>76500</v>
      </c>
    </row>
    <row r="380" spans="13:17" x14ac:dyDescent="0.3">
      <c r="M380" t="s">
        <v>13</v>
      </c>
      <c r="N380">
        <v>89000</v>
      </c>
      <c r="Q380" s="4">
        <v>76000</v>
      </c>
    </row>
    <row r="381" spans="13:17" x14ac:dyDescent="0.3">
      <c r="M381" t="s">
        <v>13</v>
      </c>
      <c r="N381">
        <v>88000</v>
      </c>
      <c r="Q381" s="3">
        <v>76000</v>
      </c>
    </row>
    <row r="382" spans="13:17" x14ac:dyDescent="0.3">
      <c r="M382" t="s">
        <v>13</v>
      </c>
      <c r="N382">
        <v>88000</v>
      </c>
      <c r="Q382" s="4">
        <v>76000</v>
      </c>
    </row>
    <row r="383" spans="13:17" x14ac:dyDescent="0.3">
      <c r="M383" t="s">
        <v>13</v>
      </c>
      <c r="N383">
        <v>88000</v>
      </c>
      <c r="Q383" s="3">
        <v>76000</v>
      </c>
    </row>
    <row r="384" spans="13:17" x14ac:dyDescent="0.3">
      <c r="M384" t="s">
        <v>13</v>
      </c>
      <c r="N384">
        <v>87550</v>
      </c>
      <c r="Q384" s="4">
        <v>76000</v>
      </c>
    </row>
    <row r="385" spans="13:17" x14ac:dyDescent="0.3">
      <c r="M385" t="s">
        <v>13</v>
      </c>
      <c r="N385">
        <v>87000</v>
      </c>
      <c r="Q385" s="3">
        <v>76000</v>
      </c>
    </row>
    <row r="386" spans="13:17" x14ac:dyDescent="0.3">
      <c r="M386" t="s">
        <v>13</v>
      </c>
      <c r="N386">
        <v>86000</v>
      </c>
      <c r="Q386" s="4">
        <v>76000</v>
      </c>
    </row>
    <row r="387" spans="13:17" x14ac:dyDescent="0.3">
      <c r="M387" t="s">
        <v>13</v>
      </c>
      <c r="N387">
        <v>86000</v>
      </c>
      <c r="Q387" s="3">
        <v>75000</v>
      </c>
    </row>
    <row r="388" spans="13:17" x14ac:dyDescent="0.3">
      <c r="M388" t="s">
        <v>13</v>
      </c>
      <c r="N388">
        <v>85000</v>
      </c>
      <c r="Q388" s="4">
        <v>75000</v>
      </c>
    </row>
    <row r="389" spans="13:17" x14ac:dyDescent="0.3">
      <c r="M389" t="s">
        <v>13</v>
      </c>
      <c r="N389">
        <v>85000</v>
      </c>
      <c r="Q389" s="3">
        <v>75000</v>
      </c>
    </row>
    <row r="390" spans="13:17" x14ac:dyDescent="0.3">
      <c r="M390" t="s">
        <v>13</v>
      </c>
      <c r="N390">
        <v>85000</v>
      </c>
      <c r="Q390" s="4">
        <v>75000</v>
      </c>
    </row>
    <row r="391" spans="13:17" x14ac:dyDescent="0.3">
      <c r="M391" t="s">
        <v>13</v>
      </c>
      <c r="N391">
        <v>85000</v>
      </c>
      <c r="Q391" s="3">
        <v>75000</v>
      </c>
    </row>
    <row r="392" spans="13:17" x14ac:dyDescent="0.3">
      <c r="M392" t="s">
        <v>13</v>
      </c>
      <c r="N392">
        <v>85000</v>
      </c>
      <c r="Q392" s="4">
        <v>75000</v>
      </c>
    </row>
    <row r="393" spans="13:17" x14ac:dyDescent="0.3">
      <c r="M393" t="s">
        <v>13</v>
      </c>
      <c r="N393">
        <v>85000</v>
      </c>
      <c r="Q393" s="3">
        <v>75000</v>
      </c>
    </row>
    <row r="394" spans="13:17" x14ac:dyDescent="0.3">
      <c r="M394" t="s">
        <v>13</v>
      </c>
      <c r="N394">
        <v>85000</v>
      </c>
      <c r="Q394" s="4">
        <v>75000</v>
      </c>
    </row>
    <row r="395" spans="13:17" x14ac:dyDescent="0.3">
      <c r="M395" t="s">
        <v>13</v>
      </c>
      <c r="N395">
        <v>85000</v>
      </c>
      <c r="Q395" s="3">
        <v>75000</v>
      </c>
    </row>
    <row r="396" spans="13:17" x14ac:dyDescent="0.3">
      <c r="M396" t="s">
        <v>13</v>
      </c>
      <c r="N396">
        <v>85000</v>
      </c>
      <c r="Q396" s="4">
        <v>75000</v>
      </c>
    </row>
    <row r="397" spans="13:17" x14ac:dyDescent="0.3">
      <c r="M397" t="s">
        <v>13</v>
      </c>
      <c r="N397">
        <v>85000</v>
      </c>
      <c r="Q397" s="3">
        <v>75000</v>
      </c>
    </row>
    <row r="398" spans="13:17" x14ac:dyDescent="0.3">
      <c r="M398" t="s">
        <v>13</v>
      </c>
      <c r="N398">
        <v>85000</v>
      </c>
      <c r="Q398" s="4">
        <v>75000</v>
      </c>
    </row>
    <row r="399" spans="13:17" x14ac:dyDescent="0.3">
      <c r="M399" t="s">
        <v>13</v>
      </c>
      <c r="N399">
        <v>85000</v>
      </c>
      <c r="Q399" s="3">
        <v>75000</v>
      </c>
    </row>
    <row r="400" spans="13:17" x14ac:dyDescent="0.3">
      <c r="M400" t="s">
        <v>13</v>
      </c>
      <c r="N400">
        <v>85000</v>
      </c>
      <c r="Q400" s="4">
        <v>75000</v>
      </c>
    </row>
    <row r="401" spans="13:17" x14ac:dyDescent="0.3">
      <c r="M401" t="s">
        <v>13</v>
      </c>
      <c r="N401">
        <v>85000</v>
      </c>
      <c r="Q401" s="3">
        <v>75000</v>
      </c>
    </row>
    <row r="402" spans="13:17" x14ac:dyDescent="0.3">
      <c r="M402" t="s">
        <v>13</v>
      </c>
      <c r="N402">
        <v>85000</v>
      </c>
      <c r="Q402" s="4">
        <v>75000</v>
      </c>
    </row>
    <row r="403" spans="13:17" x14ac:dyDescent="0.3">
      <c r="M403" t="s">
        <v>13</v>
      </c>
      <c r="N403">
        <v>85000</v>
      </c>
      <c r="Q403" s="3">
        <v>75000</v>
      </c>
    </row>
    <row r="404" spans="13:17" x14ac:dyDescent="0.3">
      <c r="M404" t="s">
        <v>13</v>
      </c>
      <c r="N404">
        <v>85000</v>
      </c>
      <c r="Q404" s="4">
        <v>75000</v>
      </c>
    </row>
    <row r="405" spans="13:17" x14ac:dyDescent="0.3">
      <c r="M405" t="s">
        <v>13</v>
      </c>
      <c r="N405">
        <v>85000</v>
      </c>
      <c r="Q405" s="3">
        <v>75000</v>
      </c>
    </row>
    <row r="406" spans="13:17" x14ac:dyDescent="0.3">
      <c r="M406" t="s">
        <v>13</v>
      </c>
      <c r="N406">
        <v>85000</v>
      </c>
      <c r="Q406" s="4">
        <v>75000</v>
      </c>
    </row>
    <row r="407" spans="13:17" x14ac:dyDescent="0.3">
      <c r="M407" t="s">
        <v>13</v>
      </c>
      <c r="N407">
        <v>85000</v>
      </c>
      <c r="Q407" s="3">
        <v>75000</v>
      </c>
    </row>
    <row r="408" spans="13:17" x14ac:dyDescent="0.3">
      <c r="M408" t="s">
        <v>13</v>
      </c>
      <c r="N408">
        <v>85000</v>
      </c>
      <c r="Q408" s="4">
        <v>75000</v>
      </c>
    </row>
    <row r="409" spans="13:17" x14ac:dyDescent="0.3">
      <c r="M409" t="s">
        <v>13</v>
      </c>
      <c r="N409">
        <v>85000</v>
      </c>
      <c r="Q409" s="3">
        <v>75000</v>
      </c>
    </row>
    <row r="410" spans="13:17" x14ac:dyDescent="0.3">
      <c r="M410" t="s">
        <v>13</v>
      </c>
      <c r="N410">
        <v>85000</v>
      </c>
      <c r="Q410" s="4">
        <v>75000</v>
      </c>
    </row>
    <row r="411" spans="13:17" x14ac:dyDescent="0.3">
      <c r="M411" t="s">
        <v>13</v>
      </c>
      <c r="N411">
        <v>85000</v>
      </c>
      <c r="Q411" s="3">
        <v>75000</v>
      </c>
    </row>
    <row r="412" spans="13:17" x14ac:dyDescent="0.3">
      <c r="M412" t="s">
        <v>13</v>
      </c>
      <c r="N412">
        <v>85000</v>
      </c>
      <c r="Q412" s="4">
        <v>75000</v>
      </c>
    </row>
    <row r="413" spans="13:17" x14ac:dyDescent="0.3">
      <c r="M413" t="s">
        <v>13</v>
      </c>
      <c r="N413">
        <v>85000</v>
      </c>
      <c r="Q413" s="3">
        <v>75000</v>
      </c>
    </row>
    <row r="414" spans="13:17" x14ac:dyDescent="0.3">
      <c r="M414" t="s">
        <v>13</v>
      </c>
      <c r="N414">
        <v>85000</v>
      </c>
      <c r="Q414" s="4">
        <v>75000</v>
      </c>
    </row>
    <row r="415" spans="13:17" x14ac:dyDescent="0.3">
      <c r="M415" t="s">
        <v>13</v>
      </c>
      <c r="N415">
        <v>85000</v>
      </c>
      <c r="Q415" s="3">
        <v>75000</v>
      </c>
    </row>
    <row r="416" spans="13:17" x14ac:dyDescent="0.3">
      <c r="M416" t="s">
        <v>13</v>
      </c>
      <c r="N416">
        <v>85000</v>
      </c>
      <c r="Q416" s="4">
        <v>75000</v>
      </c>
    </row>
    <row r="417" spans="13:17" x14ac:dyDescent="0.3">
      <c r="M417" t="s">
        <v>13</v>
      </c>
      <c r="N417">
        <v>85000</v>
      </c>
      <c r="Q417" s="3">
        <v>75000</v>
      </c>
    </row>
    <row r="418" spans="13:17" x14ac:dyDescent="0.3">
      <c r="M418" t="s">
        <v>13</v>
      </c>
      <c r="N418">
        <v>85000</v>
      </c>
      <c r="Q418" s="4">
        <v>75000</v>
      </c>
    </row>
    <row r="419" spans="13:17" x14ac:dyDescent="0.3">
      <c r="M419" t="s">
        <v>13</v>
      </c>
      <c r="N419">
        <v>85000</v>
      </c>
      <c r="Q419" s="3">
        <v>75000</v>
      </c>
    </row>
    <row r="420" spans="13:17" x14ac:dyDescent="0.3">
      <c r="M420" t="s">
        <v>13</v>
      </c>
      <c r="N420">
        <v>85000</v>
      </c>
      <c r="Q420" s="4">
        <v>75000</v>
      </c>
    </row>
    <row r="421" spans="13:17" x14ac:dyDescent="0.3">
      <c r="M421" t="s">
        <v>13</v>
      </c>
      <c r="N421">
        <v>85000</v>
      </c>
      <c r="Q421" s="3">
        <v>75000</v>
      </c>
    </row>
    <row r="422" spans="13:17" x14ac:dyDescent="0.3">
      <c r="M422" t="s">
        <v>13</v>
      </c>
      <c r="N422">
        <v>85000</v>
      </c>
      <c r="Q422" s="4">
        <v>75000</v>
      </c>
    </row>
    <row r="423" spans="13:17" x14ac:dyDescent="0.3">
      <c r="M423" t="s">
        <v>13</v>
      </c>
      <c r="N423">
        <v>85000</v>
      </c>
      <c r="Q423" s="3">
        <v>75000</v>
      </c>
    </row>
    <row r="424" spans="13:17" x14ac:dyDescent="0.3">
      <c r="M424" t="s">
        <v>13</v>
      </c>
      <c r="N424">
        <v>85000</v>
      </c>
      <c r="Q424" s="4">
        <v>75000</v>
      </c>
    </row>
    <row r="425" spans="13:17" x14ac:dyDescent="0.3">
      <c r="M425" t="s">
        <v>13</v>
      </c>
      <c r="N425">
        <v>85000</v>
      </c>
      <c r="Q425" s="3">
        <v>75000</v>
      </c>
    </row>
    <row r="426" spans="13:17" x14ac:dyDescent="0.3">
      <c r="M426" t="s">
        <v>13</v>
      </c>
      <c r="N426">
        <v>85000</v>
      </c>
      <c r="Q426" s="4">
        <v>75000</v>
      </c>
    </row>
    <row r="427" spans="13:17" x14ac:dyDescent="0.3">
      <c r="M427" t="s">
        <v>13</v>
      </c>
      <c r="N427">
        <v>84700</v>
      </c>
      <c r="Q427" s="3">
        <v>75000</v>
      </c>
    </row>
    <row r="428" spans="13:17" x14ac:dyDescent="0.3">
      <c r="M428" t="s">
        <v>13</v>
      </c>
      <c r="N428">
        <v>84000</v>
      </c>
      <c r="Q428" s="4">
        <v>75000</v>
      </c>
    </row>
    <row r="429" spans="13:17" x14ac:dyDescent="0.3">
      <c r="M429" t="s">
        <v>13</v>
      </c>
      <c r="N429">
        <v>84000</v>
      </c>
      <c r="Q429" s="3">
        <v>75000</v>
      </c>
    </row>
    <row r="430" spans="13:17" x14ac:dyDescent="0.3">
      <c r="M430" t="s">
        <v>13</v>
      </c>
      <c r="N430">
        <v>84000</v>
      </c>
      <c r="Q430" s="4">
        <v>75000</v>
      </c>
    </row>
    <row r="431" spans="13:17" x14ac:dyDescent="0.3">
      <c r="M431" t="s">
        <v>13</v>
      </c>
      <c r="N431">
        <v>84000</v>
      </c>
      <c r="Q431" s="3">
        <v>75000</v>
      </c>
    </row>
    <row r="432" spans="13:17" x14ac:dyDescent="0.3">
      <c r="M432" t="s">
        <v>13</v>
      </c>
      <c r="N432">
        <v>83000</v>
      </c>
      <c r="Q432" s="4">
        <v>75000</v>
      </c>
    </row>
    <row r="433" spans="13:17" x14ac:dyDescent="0.3">
      <c r="M433" t="s">
        <v>13</v>
      </c>
      <c r="N433">
        <v>83000</v>
      </c>
      <c r="Q433" s="3">
        <v>75000</v>
      </c>
    </row>
    <row r="434" spans="13:17" x14ac:dyDescent="0.3">
      <c r="M434" t="s">
        <v>13</v>
      </c>
      <c r="N434">
        <v>83000</v>
      </c>
      <c r="Q434" s="4">
        <v>75000</v>
      </c>
    </row>
    <row r="435" spans="13:17" x14ac:dyDescent="0.3">
      <c r="M435" t="s">
        <v>13</v>
      </c>
      <c r="N435">
        <v>83000</v>
      </c>
      <c r="Q435" s="3">
        <v>75000</v>
      </c>
    </row>
    <row r="436" spans="13:17" x14ac:dyDescent="0.3">
      <c r="M436" t="s">
        <v>13</v>
      </c>
      <c r="N436">
        <v>83000</v>
      </c>
      <c r="Q436" s="4">
        <v>75000</v>
      </c>
    </row>
    <row r="437" spans="13:17" x14ac:dyDescent="0.3">
      <c r="M437" t="s">
        <v>13</v>
      </c>
      <c r="N437">
        <v>83000</v>
      </c>
      <c r="Q437" s="3">
        <v>75000</v>
      </c>
    </row>
    <row r="438" spans="13:17" x14ac:dyDescent="0.3">
      <c r="M438" t="s">
        <v>13</v>
      </c>
      <c r="N438">
        <v>83000</v>
      </c>
      <c r="Q438" s="4">
        <v>75000</v>
      </c>
    </row>
    <row r="439" spans="13:17" x14ac:dyDescent="0.3">
      <c r="M439" t="s">
        <v>13</v>
      </c>
      <c r="N439">
        <v>83000</v>
      </c>
      <c r="Q439" s="3">
        <v>75000</v>
      </c>
    </row>
    <row r="440" spans="13:17" x14ac:dyDescent="0.3">
      <c r="M440" t="s">
        <v>13</v>
      </c>
      <c r="N440">
        <v>83000</v>
      </c>
      <c r="Q440" s="4">
        <v>75000</v>
      </c>
    </row>
    <row r="441" spans="13:17" x14ac:dyDescent="0.3">
      <c r="M441" t="s">
        <v>13</v>
      </c>
      <c r="N441">
        <v>83000</v>
      </c>
      <c r="Q441" s="3">
        <v>75000</v>
      </c>
    </row>
    <row r="442" spans="13:17" x14ac:dyDescent="0.3">
      <c r="M442" t="s">
        <v>13</v>
      </c>
      <c r="N442">
        <v>82500</v>
      </c>
      <c r="Q442" s="4">
        <v>75000</v>
      </c>
    </row>
    <row r="443" spans="13:17" x14ac:dyDescent="0.3">
      <c r="M443" t="s">
        <v>13</v>
      </c>
      <c r="N443">
        <v>82000</v>
      </c>
      <c r="Q443" s="3">
        <v>75000</v>
      </c>
    </row>
    <row r="444" spans="13:17" x14ac:dyDescent="0.3">
      <c r="M444" t="s">
        <v>13</v>
      </c>
      <c r="N444">
        <v>82000</v>
      </c>
      <c r="Q444" s="4">
        <v>75000</v>
      </c>
    </row>
    <row r="445" spans="13:17" x14ac:dyDescent="0.3">
      <c r="M445" t="s">
        <v>13</v>
      </c>
      <c r="N445">
        <v>82000</v>
      </c>
      <c r="Q445" s="3">
        <v>75000</v>
      </c>
    </row>
    <row r="446" spans="13:17" x14ac:dyDescent="0.3">
      <c r="M446" t="s">
        <v>13</v>
      </c>
      <c r="N446">
        <v>82000</v>
      </c>
      <c r="Q446" s="4">
        <v>75000</v>
      </c>
    </row>
    <row r="447" spans="13:17" x14ac:dyDescent="0.3">
      <c r="M447" t="s">
        <v>13</v>
      </c>
      <c r="N447">
        <v>82000</v>
      </c>
      <c r="Q447" s="3">
        <v>75000</v>
      </c>
    </row>
    <row r="448" spans="13:17" x14ac:dyDescent="0.3">
      <c r="M448" t="s">
        <v>13</v>
      </c>
      <c r="N448">
        <v>82000</v>
      </c>
      <c r="Q448" s="4">
        <v>75000</v>
      </c>
    </row>
    <row r="449" spans="13:17" x14ac:dyDescent="0.3">
      <c r="M449" t="s">
        <v>13</v>
      </c>
      <c r="N449">
        <v>82000</v>
      </c>
      <c r="Q449" s="3">
        <v>75000</v>
      </c>
    </row>
    <row r="450" spans="13:17" x14ac:dyDescent="0.3">
      <c r="M450" t="s">
        <v>13</v>
      </c>
      <c r="N450">
        <v>82000</v>
      </c>
      <c r="Q450" s="4">
        <v>75000</v>
      </c>
    </row>
    <row r="451" spans="13:17" x14ac:dyDescent="0.3">
      <c r="M451" t="s">
        <v>13</v>
      </c>
      <c r="N451">
        <v>82000</v>
      </c>
      <c r="Q451" s="3">
        <v>75000</v>
      </c>
    </row>
    <row r="452" spans="13:17" x14ac:dyDescent="0.3">
      <c r="M452" t="s">
        <v>13</v>
      </c>
      <c r="N452">
        <v>82000</v>
      </c>
      <c r="Q452" s="4">
        <v>74400</v>
      </c>
    </row>
    <row r="453" spans="13:17" x14ac:dyDescent="0.3">
      <c r="M453" t="s">
        <v>13</v>
      </c>
      <c r="N453">
        <v>82000</v>
      </c>
      <c r="Q453" s="3">
        <v>74000</v>
      </c>
    </row>
    <row r="454" spans="13:17" x14ac:dyDescent="0.3">
      <c r="M454" t="s">
        <v>13</v>
      </c>
      <c r="N454">
        <v>81900</v>
      </c>
      <c r="Q454" s="4">
        <v>74000</v>
      </c>
    </row>
    <row r="455" spans="13:17" x14ac:dyDescent="0.3">
      <c r="M455" t="s">
        <v>13</v>
      </c>
      <c r="N455">
        <v>81500</v>
      </c>
      <c r="Q455" s="3">
        <v>74000</v>
      </c>
    </row>
    <row r="456" spans="13:17" x14ac:dyDescent="0.3">
      <c r="M456" t="s">
        <v>13</v>
      </c>
      <c r="N456">
        <v>81200</v>
      </c>
      <c r="Q456" s="4">
        <v>74000</v>
      </c>
    </row>
    <row r="457" spans="13:17" x14ac:dyDescent="0.3">
      <c r="M457" t="s">
        <v>13</v>
      </c>
      <c r="N457">
        <v>81000</v>
      </c>
      <c r="Q457" s="3">
        <v>74000</v>
      </c>
    </row>
    <row r="458" spans="13:17" x14ac:dyDescent="0.3">
      <c r="M458" t="s">
        <v>13</v>
      </c>
      <c r="N458">
        <v>81000</v>
      </c>
      <c r="Q458" s="4">
        <v>74000</v>
      </c>
    </row>
    <row r="459" spans="13:17" x14ac:dyDescent="0.3">
      <c r="M459" t="s">
        <v>13</v>
      </c>
      <c r="N459">
        <v>81000</v>
      </c>
      <c r="Q459" s="3">
        <v>74000</v>
      </c>
    </row>
    <row r="460" spans="13:17" x14ac:dyDescent="0.3">
      <c r="M460" t="s">
        <v>13</v>
      </c>
      <c r="N460">
        <v>81000</v>
      </c>
      <c r="Q460" s="4">
        <v>74000</v>
      </c>
    </row>
    <row r="461" spans="13:17" x14ac:dyDescent="0.3">
      <c r="M461" t="s">
        <v>13</v>
      </c>
      <c r="N461">
        <v>81000</v>
      </c>
      <c r="Q461" s="3">
        <v>74000</v>
      </c>
    </row>
    <row r="462" spans="13:17" x14ac:dyDescent="0.3">
      <c r="M462" t="s">
        <v>13</v>
      </c>
      <c r="N462">
        <v>81000</v>
      </c>
      <c r="Q462" s="4">
        <v>74000</v>
      </c>
    </row>
    <row r="463" spans="13:17" x14ac:dyDescent="0.3">
      <c r="M463" t="s">
        <v>13</v>
      </c>
      <c r="N463">
        <v>80000</v>
      </c>
      <c r="Q463" s="3">
        <v>74000</v>
      </c>
    </row>
    <row r="464" spans="13:17" x14ac:dyDescent="0.3">
      <c r="M464" t="s">
        <v>13</v>
      </c>
      <c r="N464">
        <v>80000</v>
      </c>
      <c r="Q464" s="4">
        <v>74000</v>
      </c>
    </row>
    <row r="465" spans="13:17" x14ac:dyDescent="0.3">
      <c r="M465" t="s">
        <v>13</v>
      </c>
      <c r="N465">
        <v>80000</v>
      </c>
      <c r="Q465" s="3">
        <v>73500</v>
      </c>
    </row>
    <row r="466" spans="13:17" x14ac:dyDescent="0.3">
      <c r="M466" t="s">
        <v>13</v>
      </c>
      <c r="N466">
        <v>80000</v>
      </c>
      <c r="Q466" s="4">
        <v>73000</v>
      </c>
    </row>
    <row r="467" spans="13:17" x14ac:dyDescent="0.3">
      <c r="M467" t="s">
        <v>13</v>
      </c>
      <c r="N467">
        <v>80000</v>
      </c>
      <c r="Q467" s="3">
        <v>73000</v>
      </c>
    </row>
    <row r="468" spans="13:17" x14ac:dyDescent="0.3">
      <c r="M468" t="s">
        <v>13</v>
      </c>
      <c r="N468">
        <v>80000</v>
      </c>
      <c r="Q468" s="4">
        <v>73000</v>
      </c>
    </row>
    <row r="469" spans="13:17" x14ac:dyDescent="0.3">
      <c r="M469" t="s">
        <v>13</v>
      </c>
      <c r="N469">
        <v>80000</v>
      </c>
      <c r="Q469" s="3">
        <v>73000</v>
      </c>
    </row>
    <row r="470" spans="13:17" x14ac:dyDescent="0.3">
      <c r="M470" t="s">
        <v>13</v>
      </c>
      <c r="N470">
        <v>80000</v>
      </c>
      <c r="Q470" s="4">
        <v>73000</v>
      </c>
    </row>
    <row r="471" spans="13:17" x14ac:dyDescent="0.3">
      <c r="M471" t="s">
        <v>13</v>
      </c>
      <c r="N471">
        <v>80000</v>
      </c>
      <c r="Q471" s="3">
        <v>73000</v>
      </c>
    </row>
    <row r="472" spans="13:17" x14ac:dyDescent="0.3">
      <c r="M472" t="s">
        <v>13</v>
      </c>
      <c r="N472">
        <v>80000</v>
      </c>
      <c r="Q472" s="4">
        <v>73000</v>
      </c>
    </row>
    <row r="473" spans="13:17" x14ac:dyDescent="0.3">
      <c r="M473" t="s">
        <v>13</v>
      </c>
      <c r="N473">
        <v>80000</v>
      </c>
      <c r="Q473" s="3">
        <v>73000</v>
      </c>
    </row>
    <row r="474" spans="13:17" x14ac:dyDescent="0.3">
      <c r="M474" t="s">
        <v>13</v>
      </c>
      <c r="N474">
        <v>80000</v>
      </c>
      <c r="Q474" s="4">
        <v>73000</v>
      </c>
    </row>
    <row r="475" spans="13:17" x14ac:dyDescent="0.3">
      <c r="M475" t="s">
        <v>13</v>
      </c>
      <c r="N475">
        <v>80000</v>
      </c>
      <c r="Q475" s="3">
        <v>73000</v>
      </c>
    </row>
    <row r="476" spans="13:17" x14ac:dyDescent="0.3">
      <c r="M476" t="s">
        <v>13</v>
      </c>
      <c r="N476">
        <v>80000</v>
      </c>
      <c r="Q476" s="4">
        <v>72500</v>
      </c>
    </row>
    <row r="477" spans="13:17" x14ac:dyDescent="0.3">
      <c r="M477" t="s">
        <v>13</v>
      </c>
      <c r="N477">
        <v>80000</v>
      </c>
      <c r="Q477" s="3">
        <v>72000</v>
      </c>
    </row>
    <row r="478" spans="13:17" x14ac:dyDescent="0.3">
      <c r="M478" t="s">
        <v>13</v>
      </c>
      <c r="N478">
        <v>80000</v>
      </c>
      <c r="Q478" s="4">
        <v>72000</v>
      </c>
    </row>
    <row r="479" spans="13:17" x14ac:dyDescent="0.3">
      <c r="M479" t="s">
        <v>13</v>
      </c>
      <c r="N479">
        <v>80000</v>
      </c>
      <c r="Q479" s="3">
        <v>72000</v>
      </c>
    </row>
    <row r="480" spans="13:17" x14ac:dyDescent="0.3">
      <c r="M480" t="s">
        <v>13</v>
      </c>
      <c r="N480">
        <v>80000</v>
      </c>
      <c r="Q480" s="4">
        <v>72000</v>
      </c>
    </row>
    <row r="481" spans="13:17" x14ac:dyDescent="0.3">
      <c r="M481" t="s">
        <v>13</v>
      </c>
      <c r="N481">
        <v>80000</v>
      </c>
      <c r="Q481" s="3">
        <v>72000</v>
      </c>
    </row>
    <row r="482" spans="13:17" x14ac:dyDescent="0.3">
      <c r="M482" t="s">
        <v>13</v>
      </c>
      <c r="N482">
        <v>80000</v>
      </c>
      <c r="Q482" s="4">
        <v>72000</v>
      </c>
    </row>
    <row r="483" spans="13:17" x14ac:dyDescent="0.3">
      <c r="M483" t="s">
        <v>13</v>
      </c>
      <c r="N483">
        <v>80000</v>
      </c>
      <c r="Q483" s="3">
        <v>72000</v>
      </c>
    </row>
    <row r="484" spans="13:17" x14ac:dyDescent="0.3">
      <c r="M484" t="s">
        <v>13</v>
      </c>
      <c r="N484">
        <v>80000</v>
      </c>
      <c r="Q484" s="4">
        <v>72000</v>
      </c>
    </row>
    <row r="485" spans="13:17" x14ac:dyDescent="0.3">
      <c r="M485" t="s">
        <v>13</v>
      </c>
      <c r="N485">
        <v>80000</v>
      </c>
      <c r="Q485" s="3">
        <v>72000</v>
      </c>
    </row>
    <row r="486" spans="13:17" x14ac:dyDescent="0.3">
      <c r="M486" t="s">
        <v>13</v>
      </c>
      <c r="N486">
        <v>80000</v>
      </c>
      <c r="Q486" s="4">
        <v>72000</v>
      </c>
    </row>
    <row r="487" spans="13:17" x14ac:dyDescent="0.3">
      <c r="M487" t="s">
        <v>13</v>
      </c>
      <c r="N487">
        <v>80000</v>
      </c>
      <c r="Q487" s="3">
        <v>72000</v>
      </c>
    </row>
    <row r="488" spans="13:17" x14ac:dyDescent="0.3">
      <c r="M488" t="s">
        <v>13</v>
      </c>
      <c r="N488">
        <v>80000</v>
      </c>
      <c r="Q488" s="4">
        <v>72000</v>
      </c>
    </row>
    <row r="489" spans="13:17" x14ac:dyDescent="0.3">
      <c r="M489" t="s">
        <v>13</v>
      </c>
      <c r="N489">
        <v>80000</v>
      </c>
      <c r="Q489" s="3">
        <v>72000</v>
      </c>
    </row>
    <row r="490" spans="13:17" x14ac:dyDescent="0.3">
      <c r="M490" t="s">
        <v>13</v>
      </c>
      <c r="N490">
        <v>80000</v>
      </c>
      <c r="Q490" s="4">
        <v>72000</v>
      </c>
    </row>
    <row r="491" spans="13:17" x14ac:dyDescent="0.3">
      <c r="M491" t="s">
        <v>13</v>
      </c>
      <c r="N491">
        <v>80000</v>
      </c>
      <c r="Q491" s="3">
        <v>72000</v>
      </c>
    </row>
    <row r="492" spans="13:17" x14ac:dyDescent="0.3">
      <c r="M492" t="s">
        <v>13</v>
      </c>
      <c r="N492">
        <v>80000</v>
      </c>
      <c r="Q492" s="4">
        <v>72000</v>
      </c>
    </row>
    <row r="493" spans="13:17" x14ac:dyDescent="0.3">
      <c r="M493" t="s">
        <v>13</v>
      </c>
      <c r="N493">
        <v>80000</v>
      </c>
      <c r="Q493" s="3">
        <v>72000</v>
      </c>
    </row>
    <row r="494" spans="13:17" x14ac:dyDescent="0.3">
      <c r="M494" t="s">
        <v>13</v>
      </c>
      <c r="N494">
        <v>80000</v>
      </c>
      <c r="Q494" s="4">
        <v>72000</v>
      </c>
    </row>
    <row r="495" spans="13:17" x14ac:dyDescent="0.3">
      <c r="M495" t="s">
        <v>13</v>
      </c>
      <c r="N495">
        <v>80000</v>
      </c>
      <c r="Q495" s="3">
        <v>72000</v>
      </c>
    </row>
    <row r="496" spans="13:17" x14ac:dyDescent="0.3">
      <c r="M496" t="s">
        <v>13</v>
      </c>
      <c r="N496">
        <v>80000</v>
      </c>
      <c r="Q496" s="4">
        <v>72000</v>
      </c>
    </row>
    <row r="497" spans="13:17" x14ac:dyDescent="0.3">
      <c r="M497" t="s">
        <v>13</v>
      </c>
      <c r="N497">
        <v>80000</v>
      </c>
      <c r="Q497" s="3">
        <v>72000</v>
      </c>
    </row>
    <row r="498" spans="13:17" x14ac:dyDescent="0.3">
      <c r="M498" t="s">
        <v>13</v>
      </c>
      <c r="N498">
        <v>80000</v>
      </c>
      <c r="Q498" s="4">
        <v>72000</v>
      </c>
    </row>
    <row r="499" spans="13:17" x14ac:dyDescent="0.3">
      <c r="M499" t="s">
        <v>13</v>
      </c>
      <c r="N499">
        <v>80000</v>
      </c>
      <c r="Q499" s="3">
        <v>72000</v>
      </c>
    </row>
    <row r="500" spans="13:17" x14ac:dyDescent="0.3">
      <c r="M500" t="s">
        <v>13</v>
      </c>
      <c r="N500">
        <v>80000</v>
      </c>
      <c r="Q500" s="4">
        <v>72000</v>
      </c>
    </row>
    <row r="501" spans="13:17" x14ac:dyDescent="0.3">
      <c r="M501" t="s">
        <v>13</v>
      </c>
      <c r="N501">
        <v>80000</v>
      </c>
      <c r="Q501" s="3">
        <v>72000</v>
      </c>
    </row>
    <row r="502" spans="13:17" x14ac:dyDescent="0.3">
      <c r="M502" t="s">
        <v>13</v>
      </c>
      <c r="N502">
        <v>80000</v>
      </c>
      <c r="Q502" s="4">
        <v>72000</v>
      </c>
    </row>
    <row r="503" spans="13:17" x14ac:dyDescent="0.3">
      <c r="M503" t="s">
        <v>13</v>
      </c>
      <c r="N503">
        <v>80000</v>
      </c>
      <c r="Q503" s="3">
        <v>72000</v>
      </c>
    </row>
    <row r="504" spans="13:17" x14ac:dyDescent="0.3">
      <c r="M504" t="s">
        <v>13</v>
      </c>
      <c r="N504">
        <v>80000</v>
      </c>
      <c r="Q504" s="4">
        <v>72000</v>
      </c>
    </row>
    <row r="505" spans="13:17" x14ac:dyDescent="0.3">
      <c r="M505" t="s">
        <v>13</v>
      </c>
      <c r="N505">
        <v>80000</v>
      </c>
      <c r="Q505" s="3">
        <v>72000</v>
      </c>
    </row>
    <row r="506" spans="13:17" x14ac:dyDescent="0.3">
      <c r="M506" t="s">
        <v>13</v>
      </c>
      <c r="N506">
        <v>80000</v>
      </c>
      <c r="Q506" s="4">
        <v>72000</v>
      </c>
    </row>
    <row r="507" spans="13:17" x14ac:dyDescent="0.3">
      <c r="M507" t="s">
        <v>13</v>
      </c>
      <c r="N507">
        <v>80000</v>
      </c>
      <c r="Q507" s="3">
        <v>72000</v>
      </c>
    </row>
    <row r="508" spans="13:17" x14ac:dyDescent="0.3">
      <c r="M508" t="s">
        <v>13</v>
      </c>
      <c r="N508">
        <v>80000</v>
      </c>
      <c r="Q508" s="4">
        <v>71750</v>
      </c>
    </row>
    <row r="509" spans="13:17" x14ac:dyDescent="0.3">
      <c r="M509" t="s">
        <v>13</v>
      </c>
      <c r="N509">
        <v>80000</v>
      </c>
      <c r="Q509" s="3">
        <v>71060</v>
      </c>
    </row>
    <row r="510" spans="13:17" x14ac:dyDescent="0.3">
      <c r="M510" t="s">
        <v>13</v>
      </c>
      <c r="N510">
        <v>80000</v>
      </c>
      <c r="Q510" s="4">
        <v>71000</v>
      </c>
    </row>
    <row r="511" spans="13:17" x14ac:dyDescent="0.3">
      <c r="M511" t="s">
        <v>13</v>
      </c>
      <c r="N511">
        <v>80000</v>
      </c>
      <c r="Q511" s="3">
        <v>71000</v>
      </c>
    </row>
    <row r="512" spans="13:17" x14ac:dyDescent="0.3">
      <c r="M512" t="s">
        <v>13</v>
      </c>
      <c r="N512">
        <v>80000</v>
      </c>
      <c r="Q512" s="4">
        <v>71000</v>
      </c>
    </row>
    <row r="513" spans="13:17" x14ac:dyDescent="0.3">
      <c r="M513" t="s">
        <v>13</v>
      </c>
      <c r="N513">
        <v>80000</v>
      </c>
      <c r="Q513" s="3">
        <v>71000</v>
      </c>
    </row>
    <row r="514" spans="13:17" x14ac:dyDescent="0.3">
      <c r="M514" t="s">
        <v>13</v>
      </c>
      <c r="N514">
        <v>80000</v>
      </c>
      <c r="Q514" s="4">
        <v>70800</v>
      </c>
    </row>
    <row r="515" spans="13:17" x14ac:dyDescent="0.3">
      <c r="M515" t="s">
        <v>13</v>
      </c>
      <c r="N515">
        <v>80000</v>
      </c>
      <c r="Q515" s="3">
        <v>70800</v>
      </c>
    </row>
    <row r="516" spans="13:17" x14ac:dyDescent="0.3">
      <c r="M516" t="s">
        <v>13</v>
      </c>
      <c r="N516">
        <v>80000</v>
      </c>
      <c r="Q516" s="4">
        <v>70500</v>
      </c>
    </row>
    <row r="517" spans="13:17" x14ac:dyDescent="0.3">
      <c r="M517" t="s">
        <v>13</v>
      </c>
      <c r="N517">
        <v>80000</v>
      </c>
      <c r="Q517" s="3">
        <v>70200</v>
      </c>
    </row>
    <row r="518" spans="13:17" x14ac:dyDescent="0.3">
      <c r="M518" t="s">
        <v>13</v>
      </c>
      <c r="N518">
        <v>80000</v>
      </c>
      <c r="Q518" s="4">
        <v>70200</v>
      </c>
    </row>
    <row r="519" spans="13:17" x14ac:dyDescent="0.3">
      <c r="M519" t="s">
        <v>13</v>
      </c>
      <c r="N519">
        <v>80000</v>
      </c>
      <c r="Q519" s="3">
        <v>70000</v>
      </c>
    </row>
    <row r="520" spans="13:17" x14ac:dyDescent="0.3">
      <c r="M520" t="s">
        <v>13</v>
      </c>
      <c r="N520">
        <v>80000</v>
      </c>
      <c r="Q520" s="4">
        <v>70000</v>
      </c>
    </row>
    <row r="521" spans="13:17" x14ac:dyDescent="0.3">
      <c r="M521" t="s">
        <v>13</v>
      </c>
      <c r="N521">
        <v>80000</v>
      </c>
      <c r="Q521" s="3">
        <v>70000</v>
      </c>
    </row>
    <row r="522" spans="13:17" x14ac:dyDescent="0.3">
      <c r="M522" t="s">
        <v>13</v>
      </c>
      <c r="N522">
        <v>80000</v>
      </c>
      <c r="Q522" s="4">
        <v>70000</v>
      </c>
    </row>
    <row r="523" spans="13:17" x14ac:dyDescent="0.3">
      <c r="M523" t="s">
        <v>13</v>
      </c>
      <c r="N523">
        <v>80000</v>
      </c>
      <c r="Q523" s="3">
        <v>70000</v>
      </c>
    </row>
    <row r="524" spans="13:17" x14ac:dyDescent="0.3">
      <c r="M524" t="s">
        <v>13</v>
      </c>
      <c r="N524">
        <v>80000</v>
      </c>
      <c r="Q524" s="4">
        <v>70000</v>
      </c>
    </row>
    <row r="525" spans="13:17" x14ac:dyDescent="0.3">
      <c r="M525" t="s">
        <v>13</v>
      </c>
      <c r="N525">
        <v>80000</v>
      </c>
      <c r="Q525" s="3">
        <v>70000</v>
      </c>
    </row>
    <row r="526" spans="13:17" x14ac:dyDescent="0.3">
      <c r="M526" t="s">
        <v>13</v>
      </c>
      <c r="N526">
        <v>79300</v>
      </c>
      <c r="Q526" s="4">
        <v>70000</v>
      </c>
    </row>
    <row r="527" spans="13:17" x14ac:dyDescent="0.3">
      <c r="M527" t="s">
        <v>13</v>
      </c>
      <c r="N527">
        <v>79000</v>
      </c>
      <c r="Q527" s="3">
        <v>70000</v>
      </c>
    </row>
    <row r="528" spans="13:17" x14ac:dyDescent="0.3">
      <c r="M528" t="s">
        <v>13</v>
      </c>
      <c r="N528">
        <v>79000</v>
      </c>
      <c r="Q528" s="4">
        <v>70000</v>
      </c>
    </row>
    <row r="529" spans="13:17" x14ac:dyDescent="0.3">
      <c r="M529" t="s">
        <v>13</v>
      </c>
      <c r="N529">
        <v>79000</v>
      </c>
      <c r="Q529" s="3">
        <v>70000</v>
      </c>
    </row>
    <row r="530" spans="13:17" x14ac:dyDescent="0.3">
      <c r="M530" t="s">
        <v>13</v>
      </c>
      <c r="N530">
        <v>79000</v>
      </c>
      <c r="Q530" s="4">
        <v>70000</v>
      </c>
    </row>
    <row r="531" spans="13:17" x14ac:dyDescent="0.3">
      <c r="M531" t="s">
        <v>13</v>
      </c>
      <c r="N531">
        <v>79000</v>
      </c>
      <c r="Q531" s="3">
        <v>70000</v>
      </c>
    </row>
    <row r="532" spans="13:17" x14ac:dyDescent="0.3">
      <c r="M532" t="s">
        <v>13</v>
      </c>
      <c r="N532">
        <v>79000</v>
      </c>
      <c r="Q532" s="4">
        <v>70000</v>
      </c>
    </row>
    <row r="533" spans="13:17" x14ac:dyDescent="0.3">
      <c r="M533" t="s">
        <v>13</v>
      </c>
      <c r="N533">
        <v>78600</v>
      </c>
      <c r="Q533" s="3">
        <v>70000</v>
      </c>
    </row>
    <row r="534" spans="13:17" x14ac:dyDescent="0.3">
      <c r="M534" t="s">
        <v>13</v>
      </c>
      <c r="N534">
        <v>78500</v>
      </c>
      <c r="Q534" s="4">
        <v>70000</v>
      </c>
    </row>
    <row r="535" spans="13:17" x14ac:dyDescent="0.3">
      <c r="M535" t="s">
        <v>13</v>
      </c>
      <c r="N535">
        <v>78000</v>
      </c>
      <c r="Q535" s="3">
        <v>70000</v>
      </c>
    </row>
    <row r="536" spans="13:17" x14ac:dyDescent="0.3">
      <c r="M536" t="s">
        <v>13</v>
      </c>
      <c r="N536">
        <v>78000</v>
      </c>
      <c r="Q536" s="4">
        <v>70000</v>
      </c>
    </row>
    <row r="537" spans="13:17" x14ac:dyDescent="0.3">
      <c r="M537" t="s">
        <v>13</v>
      </c>
      <c r="N537">
        <v>78000</v>
      </c>
      <c r="Q537" s="3">
        <v>70000</v>
      </c>
    </row>
    <row r="538" spans="13:17" x14ac:dyDescent="0.3">
      <c r="M538" t="s">
        <v>13</v>
      </c>
      <c r="N538">
        <v>78000</v>
      </c>
      <c r="Q538" s="4">
        <v>70000</v>
      </c>
    </row>
    <row r="539" spans="13:17" x14ac:dyDescent="0.3">
      <c r="M539" t="s">
        <v>13</v>
      </c>
      <c r="N539">
        <v>78000</v>
      </c>
      <c r="Q539" s="3">
        <v>70000</v>
      </c>
    </row>
    <row r="540" spans="13:17" x14ac:dyDescent="0.3">
      <c r="M540" t="s">
        <v>13</v>
      </c>
      <c r="N540">
        <v>78000</v>
      </c>
      <c r="Q540" s="4">
        <v>70000</v>
      </c>
    </row>
    <row r="541" spans="13:17" x14ac:dyDescent="0.3">
      <c r="M541" t="s">
        <v>13</v>
      </c>
      <c r="N541">
        <v>78000</v>
      </c>
      <c r="Q541" s="3">
        <v>70000</v>
      </c>
    </row>
    <row r="542" spans="13:17" x14ac:dyDescent="0.3">
      <c r="M542" t="s">
        <v>13</v>
      </c>
      <c r="N542">
        <v>78000</v>
      </c>
      <c r="Q542" s="4">
        <v>70000</v>
      </c>
    </row>
    <row r="543" spans="13:17" x14ac:dyDescent="0.3">
      <c r="M543" t="s">
        <v>13</v>
      </c>
      <c r="N543">
        <v>78000</v>
      </c>
      <c r="Q543" s="3">
        <v>70000</v>
      </c>
    </row>
    <row r="544" spans="13:17" x14ac:dyDescent="0.3">
      <c r="M544" t="s">
        <v>13</v>
      </c>
      <c r="N544">
        <v>78000</v>
      </c>
      <c r="Q544" s="4">
        <v>70000</v>
      </c>
    </row>
    <row r="545" spans="13:17" x14ac:dyDescent="0.3">
      <c r="M545" t="s">
        <v>13</v>
      </c>
      <c r="N545">
        <v>78000</v>
      </c>
      <c r="Q545" s="3">
        <v>70000</v>
      </c>
    </row>
    <row r="546" spans="13:17" x14ac:dyDescent="0.3">
      <c r="M546" t="s">
        <v>13</v>
      </c>
      <c r="N546">
        <v>78000</v>
      </c>
      <c r="Q546" s="4">
        <v>70000</v>
      </c>
    </row>
    <row r="547" spans="13:17" x14ac:dyDescent="0.3">
      <c r="M547" t="s">
        <v>13</v>
      </c>
      <c r="N547">
        <v>78000</v>
      </c>
      <c r="Q547" s="3">
        <v>70000</v>
      </c>
    </row>
    <row r="548" spans="13:17" x14ac:dyDescent="0.3">
      <c r="M548" t="s">
        <v>13</v>
      </c>
      <c r="N548">
        <v>78000</v>
      </c>
      <c r="Q548" s="4">
        <v>70000</v>
      </c>
    </row>
    <row r="549" spans="13:17" x14ac:dyDescent="0.3">
      <c r="M549" t="s">
        <v>13</v>
      </c>
      <c r="N549">
        <v>78000</v>
      </c>
      <c r="Q549" s="3">
        <v>70000</v>
      </c>
    </row>
    <row r="550" spans="13:17" x14ac:dyDescent="0.3">
      <c r="M550" t="s">
        <v>13</v>
      </c>
      <c r="N550">
        <v>78000</v>
      </c>
      <c r="Q550" s="4">
        <v>70000</v>
      </c>
    </row>
    <row r="551" spans="13:17" x14ac:dyDescent="0.3">
      <c r="M551" t="s">
        <v>13</v>
      </c>
      <c r="N551">
        <v>78000</v>
      </c>
      <c r="Q551" s="3">
        <v>70000</v>
      </c>
    </row>
    <row r="552" spans="13:17" x14ac:dyDescent="0.3">
      <c r="M552" t="s">
        <v>13</v>
      </c>
      <c r="N552">
        <v>77600</v>
      </c>
      <c r="Q552" s="4">
        <v>70000</v>
      </c>
    </row>
    <row r="553" spans="13:17" x14ac:dyDescent="0.3">
      <c r="M553" t="s">
        <v>13</v>
      </c>
      <c r="N553">
        <v>77500</v>
      </c>
      <c r="Q553" s="3">
        <v>70000</v>
      </c>
    </row>
    <row r="554" spans="13:17" x14ac:dyDescent="0.3">
      <c r="M554" t="s">
        <v>13</v>
      </c>
      <c r="N554">
        <v>77250</v>
      </c>
      <c r="Q554" s="4">
        <v>70000</v>
      </c>
    </row>
    <row r="555" spans="13:17" x14ac:dyDescent="0.3">
      <c r="M555" t="s">
        <v>13</v>
      </c>
      <c r="N555">
        <v>77000</v>
      </c>
      <c r="Q555" s="3">
        <v>70000</v>
      </c>
    </row>
    <row r="556" spans="13:17" x14ac:dyDescent="0.3">
      <c r="M556" t="s">
        <v>13</v>
      </c>
      <c r="N556">
        <v>77000</v>
      </c>
      <c r="Q556" s="4">
        <v>70000</v>
      </c>
    </row>
    <row r="557" spans="13:17" x14ac:dyDescent="0.3">
      <c r="M557" t="s">
        <v>13</v>
      </c>
      <c r="N557">
        <v>77000</v>
      </c>
      <c r="Q557" s="3">
        <v>70000</v>
      </c>
    </row>
    <row r="558" spans="13:17" x14ac:dyDescent="0.3">
      <c r="M558" t="s">
        <v>13</v>
      </c>
      <c r="N558">
        <v>77000</v>
      </c>
      <c r="Q558" s="4">
        <v>70000</v>
      </c>
    </row>
    <row r="559" spans="13:17" x14ac:dyDescent="0.3">
      <c r="M559" t="s">
        <v>13</v>
      </c>
      <c r="N559">
        <v>77000</v>
      </c>
      <c r="Q559" s="3">
        <v>70000</v>
      </c>
    </row>
    <row r="560" spans="13:17" x14ac:dyDescent="0.3">
      <c r="M560" t="s">
        <v>13</v>
      </c>
      <c r="N560">
        <v>77000</v>
      </c>
      <c r="Q560" s="4">
        <v>70000</v>
      </c>
    </row>
    <row r="561" spans="13:17" x14ac:dyDescent="0.3">
      <c r="M561" t="s">
        <v>13</v>
      </c>
      <c r="N561">
        <v>77000</v>
      </c>
      <c r="Q561" s="3">
        <v>70000</v>
      </c>
    </row>
    <row r="562" spans="13:17" x14ac:dyDescent="0.3">
      <c r="M562" t="s">
        <v>13</v>
      </c>
      <c r="N562">
        <v>77000</v>
      </c>
      <c r="Q562" s="4">
        <v>70000</v>
      </c>
    </row>
    <row r="563" spans="13:17" x14ac:dyDescent="0.3">
      <c r="M563" t="s">
        <v>13</v>
      </c>
      <c r="N563">
        <v>77000</v>
      </c>
      <c r="Q563" s="3">
        <v>70000</v>
      </c>
    </row>
    <row r="564" spans="13:17" x14ac:dyDescent="0.3">
      <c r="M564" t="s">
        <v>13</v>
      </c>
      <c r="N564">
        <v>77000</v>
      </c>
      <c r="Q564" s="4">
        <v>70000</v>
      </c>
    </row>
    <row r="565" spans="13:17" x14ac:dyDescent="0.3">
      <c r="M565" t="s">
        <v>13</v>
      </c>
      <c r="N565">
        <v>77000</v>
      </c>
      <c r="Q565" s="3">
        <v>70000</v>
      </c>
    </row>
    <row r="566" spans="13:17" x14ac:dyDescent="0.3">
      <c r="M566" t="s">
        <v>13</v>
      </c>
      <c r="N566">
        <v>77000</v>
      </c>
      <c r="Q566" s="4">
        <v>70000</v>
      </c>
    </row>
    <row r="567" spans="13:17" x14ac:dyDescent="0.3">
      <c r="M567" t="s">
        <v>13</v>
      </c>
      <c r="N567">
        <v>76900</v>
      </c>
      <c r="Q567" s="3">
        <v>70000</v>
      </c>
    </row>
    <row r="568" spans="13:17" x14ac:dyDescent="0.3">
      <c r="M568" t="s">
        <v>13</v>
      </c>
      <c r="N568">
        <v>76500</v>
      </c>
      <c r="Q568" s="4">
        <v>70000</v>
      </c>
    </row>
    <row r="569" spans="13:17" x14ac:dyDescent="0.3">
      <c r="M569" t="s">
        <v>13</v>
      </c>
      <c r="N569">
        <v>76000</v>
      </c>
      <c r="Q569" s="3">
        <v>70000</v>
      </c>
    </row>
    <row r="570" spans="13:17" x14ac:dyDescent="0.3">
      <c r="M570" t="s">
        <v>13</v>
      </c>
      <c r="N570">
        <v>76000</v>
      </c>
      <c r="Q570" s="4">
        <v>70000</v>
      </c>
    </row>
    <row r="571" spans="13:17" x14ac:dyDescent="0.3">
      <c r="M571" t="s">
        <v>13</v>
      </c>
      <c r="N571">
        <v>76000</v>
      </c>
      <c r="Q571" s="3">
        <v>70000</v>
      </c>
    </row>
    <row r="572" spans="13:17" x14ac:dyDescent="0.3">
      <c r="M572" t="s">
        <v>13</v>
      </c>
      <c r="N572">
        <v>76000</v>
      </c>
      <c r="Q572" s="4">
        <v>70000</v>
      </c>
    </row>
    <row r="573" spans="13:17" x14ac:dyDescent="0.3">
      <c r="M573" t="s">
        <v>13</v>
      </c>
      <c r="N573">
        <v>76000</v>
      </c>
      <c r="Q573" s="3">
        <v>70000</v>
      </c>
    </row>
    <row r="574" spans="13:17" x14ac:dyDescent="0.3">
      <c r="M574" t="s">
        <v>13</v>
      </c>
      <c r="N574">
        <v>76000</v>
      </c>
      <c r="Q574" s="4">
        <v>70000</v>
      </c>
    </row>
    <row r="575" spans="13:17" x14ac:dyDescent="0.3">
      <c r="M575" t="s">
        <v>13</v>
      </c>
      <c r="N575">
        <v>76000</v>
      </c>
      <c r="Q575" s="3">
        <v>70000</v>
      </c>
    </row>
    <row r="576" spans="13:17" x14ac:dyDescent="0.3">
      <c r="M576" t="s">
        <v>13</v>
      </c>
      <c r="N576">
        <v>75000</v>
      </c>
      <c r="Q576" s="4">
        <v>70000</v>
      </c>
    </row>
    <row r="577" spans="13:17" x14ac:dyDescent="0.3">
      <c r="M577" t="s">
        <v>13</v>
      </c>
      <c r="N577">
        <v>75000</v>
      </c>
      <c r="Q577" s="3">
        <v>70000</v>
      </c>
    </row>
    <row r="578" spans="13:17" x14ac:dyDescent="0.3">
      <c r="M578" t="s">
        <v>13</v>
      </c>
      <c r="N578">
        <v>75000</v>
      </c>
      <c r="Q578" s="4">
        <v>70000</v>
      </c>
    </row>
    <row r="579" spans="13:17" x14ac:dyDescent="0.3">
      <c r="M579" t="s">
        <v>13</v>
      </c>
      <c r="N579">
        <v>75000</v>
      </c>
      <c r="Q579" s="3">
        <v>70000</v>
      </c>
    </row>
    <row r="580" spans="13:17" x14ac:dyDescent="0.3">
      <c r="M580" t="s">
        <v>13</v>
      </c>
      <c r="N580">
        <v>75000</v>
      </c>
      <c r="Q580" s="4">
        <v>70000</v>
      </c>
    </row>
    <row r="581" spans="13:17" x14ac:dyDescent="0.3">
      <c r="M581" t="s">
        <v>13</v>
      </c>
      <c r="N581">
        <v>75000</v>
      </c>
      <c r="Q581" s="3">
        <v>70000</v>
      </c>
    </row>
    <row r="582" spans="13:17" x14ac:dyDescent="0.3">
      <c r="M582" t="s">
        <v>13</v>
      </c>
      <c r="N582">
        <v>75000</v>
      </c>
      <c r="Q582" s="4">
        <v>70000</v>
      </c>
    </row>
    <row r="583" spans="13:17" x14ac:dyDescent="0.3">
      <c r="M583" t="s">
        <v>13</v>
      </c>
      <c r="N583">
        <v>75000</v>
      </c>
      <c r="Q583" s="3">
        <v>70000</v>
      </c>
    </row>
    <row r="584" spans="13:17" x14ac:dyDescent="0.3">
      <c r="M584" t="s">
        <v>13</v>
      </c>
      <c r="N584">
        <v>75000</v>
      </c>
      <c r="Q584" s="4">
        <v>70000</v>
      </c>
    </row>
    <row r="585" spans="13:17" x14ac:dyDescent="0.3">
      <c r="M585" t="s">
        <v>13</v>
      </c>
      <c r="N585">
        <v>75000</v>
      </c>
      <c r="Q585" s="3">
        <v>70000</v>
      </c>
    </row>
    <row r="586" spans="13:17" x14ac:dyDescent="0.3">
      <c r="M586" t="s">
        <v>13</v>
      </c>
      <c r="N586">
        <v>75000</v>
      </c>
      <c r="Q586" s="4">
        <v>70000</v>
      </c>
    </row>
    <row r="587" spans="13:17" x14ac:dyDescent="0.3">
      <c r="M587" t="s">
        <v>13</v>
      </c>
      <c r="N587">
        <v>75000</v>
      </c>
      <c r="Q587" s="3">
        <v>70000</v>
      </c>
    </row>
    <row r="588" spans="13:17" x14ac:dyDescent="0.3">
      <c r="M588" t="s">
        <v>13</v>
      </c>
      <c r="N588">
        <v>75000</v>
      </c>
      <c r="Q588" s="4">
        <v>70000</v>
      </c>
    </row>
    <row r="589" spans="13:17" x14ac:dyDescent="0.3">
      <c r="M589" t="s">
        <v>13</v>
      </c>
      <c r="N589">
        <v>75000</v>
      </c>
      <c r="Q589" s="3">
        <v>70000</v>
      </c>
    </row>
    <row r="590" spans="13:17" x14ac:dyDescent="0.3">
      <c r="M590" t="s">
        <v>13</v>
      </c>
      <c r="N590">
        <v>75000</v>
      </c>
      <c r="Q590" s="4">
        <v>69200</v>
      </c>
    </row>
    <row r="591" spans="13:17" x14ac:dyDescent="0.3">
      <c r="M591" t="s">
        <v>13</v>
      </c>
      <c r="N591">
        <v>75000</v>
      </c>
      <c r="Q591" s="3">
        <v>69000</v>
      </c>
    </row>
    <row r="592" spans="13:17" x14ac:dyDescent="0.3">
      <c r="M592" t="s">
        <v>13</v>
      </c>
      <c r="N592">
        <v>75000</v>
      </c>
      <c r="Q592" s="4">
        <v>69000</v>
      </c>
    </row>
    <row r="593" spans="13:17" x14ac:dyDescent="0.3">
      <c r="M593" t="s">
        <v>13</v>
      </c>
      <c r="N593">
        <v>75000</v>
      </c>
      <c r="Q593" s="3">
        <v>69000</v>
      </c>
    </row>
    <row r="594" spans="13:17" x14ac:dyDescent="0.3">
      <c r="M594" t="s">
        <v>13</v>
      </c>
      <c r="N594">
        <v>75000</v>
      </c>
      <c r="Q594" s="4">
        <v>69000</v>
      </c>
    </row>
    <row r="595" spans="13:17" x14ac:dyDescent="0.3">
      <c r="M595" t="s">
        <v>13</v>
      </c>
      <c r="N595">
        <v>75000</v>
      </c>
      <c r="Q595" s="3">
        <v>69000</v>
      </c>
    </row>
    <row r="596" spans="13:17" x14ac:dyDescent="0.3">
      <c r="M596" t="s">
        <v>13</v>
      </c>
      <c r="N596">
        <v>75000</v>
      </c>
      <c r="Q596" s="4">
        <v>69000</v>
      </c>
    </row>
    <row r="597" spans="13:17" x14ac:dyDescent="0.3">
      <c r="M597" t="s">
        <v>13</v>
      </c>
      <c r="N597">
        <v>75000</v>
      </c>
      <c r="Q597" s="3">
        <v>68500</v>
      </c>
    </row>
    <row r="598" spans="13:17" x14ac:dyDescent="0.3">
      <c r="M598" t="s">
        <v>13</v>
      </c>
      <c r="N598">
        <v>75000</v>
      </c>
      <c r="Q598" s="4">
        <v>68500</v>
      </c>
    </row>
    <row r="599" spans="13:17" x14ac:dyDescent="0.3">
      <c r="M599" t="s">
        <v>13</v>
      </c>
      <c r="N599">
        <v>75000</v>
      </c>
      <c r="Q599" s="3">
        <v>68500</v>
      </c>
    </row>
    <row r="600" spans="13:17" x14ac:dyDescent="0.3">
      <c r="M600" t="s">
        <v>13</v>
      </c>
      <c r="N600">
        <v>75000</v>
      </c>
      <c r="Q600" s="4">
        <v>68500</v>
      </c>
    </row>
    <row r="601" spans="13:17" x14ac:dyDescent="0.3">
      <c r="M601" t="s">
        <v>13</v>
      </c>
      <c r="N601">
        <v>75000</v>
      </c>
      <c r="Q601" s="3">
        <v>68500</v>
      </c>
    </row>
    <row r="602" spans="13:17" x14ac:dyDescent="0.3">
      <c r="M602" t="s">
        <v>13</v>
      </c>
      <c r="N602">
        <v>75000</v>
      </c>
      <c r="Q602" s="4">
        <v>68250</v>
      </c>
    </row>
    <row r="603" spans="13:17" x14ac:dyDescent="0.3">
      <c r="M603" t="s">
        <v>13</v>
      </c>
      <c r="N603">
        <v>75000</v>
      </c>
      <c r="Q603" s="3">
        <v>68000</v>
      </c>
    </row>
    <row r="604" spans="13:17" x14ac:dyDescent="0.3">
      <c r="M604" t="s">
        <v>13</v>
      </c>
      <c r="N604">
        <v>75000</v>
      </c>
      <c r="Q604" s="4">
        <v>68000</v>
      </c>
    </row>
    <row r="605" spans="13:17" x14ac:dyDescent="0.3">
      <c r="M605" t="s">
        <v>13</v>
      </c>
      <c r="N605">
        <v>75000</v>
      </c>
      <c r="Q605" s="3">
        <v>68000</v>
      </c>
    </row>
    <row r="606" spans="13:17" x14ac:dyDescent="0.3">
      <c r="M606" t="s">
        <v>13</v>
      </c>
      <c r="N606">
        <v>75000</v>
      </c>
      <c r="Q606" s="4">
        <v>68000</v>
      </c>
    </row>
    <row r="607" spans="13:17" x14ac:dyDescent="0.3">
      <c r="M607" t="s">
        <v>13</v>
      </c>
      <c r="N607">
        <v>75000</v>
      </c>
      <c r="Q607" s="3">
        <v>68000</v>
      </c>
    </row>
    <row r="608" spans="13:17" x14ac:dyDescent="0.3">
      <c r="M608" t="s">
        <v>13</v>
      </c>
      <c r="N608">
        <v>75000</v>
      </c>
      <c r="Q608" s="4">
        <v>68000</v>
      </c>
    </row>
    <row r="609" spans="13:17" x14ac:dyDescent="0.3">
      <c r="M609" t="s">
        <v>13</v>
      </c>
      <c r="N609">
        <v>75000</v>
      </c>
      <c r="Q609" s="3">
        <v>68000</v>
      </c>
    </row>
    <row r="610" spans="13:17" x14ac:dyDescent="0.3">
      <c r="M610" t="s">
        <v>13</v>
      </c>
      <c r="N610">
        <v>75000</v>
      </c>
      <c r="Q610" s="4">
        <v>68000</v>
      </c>
    </row>
    <row r="611" spans="13:17" x14ac:dyDescent="0.3">
      <c r="M611" t="s">
        <v>13</v>
      </c>
      <c r="N611">
        <v>75000</v>
      </c>
      <c r="Q611" s="3">
        <v>68000</v>
      </c>
    </row>
    <row r="612" spans="13:17" x14ac:dyDescent="0.3">
      <c r="M612" t="s">
        <v>13</v>
      </c>
      <c r="N612">
        <v>75000</v>
      </c>
      <c r="Q612" s="4">
        <v>68000</v>
      </c>
    </row>
    <row r="613" spans="13:17" x14ac:dyDescent="0.3">
      <c r="M613" t="s">
        <v>13</v>
      </c>
      <c r="N613">
        <v>75000</v>
      </c>
      <c r="Q613" s="3">
        <v>68000</v>
      </c>
    </row>
    <row r="614" spans="13:17" x14ac:dyDescent="0.3">
      <c r="M614" t="s">
        <v>13</v>
      </c>
      <c r="N614">
        <v>75000</v>
      </c>
      <c r="Q614" s="4">
        <v>68000</v>
      </c>
    </row>
    <row r="615" spans="13:17" x14ac:dyDescent="0.3">
      <c r="M615" t="s">
        <v>13</v>
      </c>
      <c r="N615">
        <v>75000</v>
      </c>
      <c r="Q615" s="3">
        <v>68000</v>
      </c>
    </row>
    <row r="616" spans="13:17" x14ac:dyDescent="0.3">
      <c r="M616" t="s">
        <v>13</v>
      </c>
      <c r="N616">
        <v>75000</v>
      </c>
      <c r="Q616" s="4">
        <v>68000</v>
      </c>
    </row>
    <row r="617" spans="13:17" x14ac:dyDescent="0.3">
      <c r="M617" t="s">
        <v>13</v>
      </c>
      <c r="N617">
        <v>75000</v>
      </c>
      <c r="Q617" s="3">
        <v>68000</v>
      </c>
    </row>
    <row r="618" spans="13:17" x14ac:dyDescent="0.3">
      <c r="M618" t="s">
        <v>13</v>
      </c>
      <c r="N618">
        <v>75000</v>
      </c>
      <c r="Q618" s="4">
        <v>68000</v>
      </c>
    </row>
    <row r="619" spans="13:17" x14ac:dyDescent="0.3">
      <c r="M619" t="s">
        <v>13</v>
      </c>
      <c r="N619">
        <v>75000</v>
      </c>
      <c r="Q619" s="3">
        <v>68000</v>
      </c>
    </row>
    <row r="620" spans="13:17" x14ac:dyDescent="0.3">
      <c r="M620" t="s">
        <v>13</v>
      </c>
      <c r="N620">
        <v>75000</v>
      </c>
      <c r="Q620" s="4">
        <v>68000</v>
      </c>
    </row>
    <row r="621" spans="13:17" x14ac:dyDescent="0.3">
      <c r="M621" t="s">
        <v>13</v>
      </c>
      <c r="N621">
        <v>75000</v>
      </c>
      <c r="Q621" s="3">
        <v>68000</v>
      </c>
    </row>
    <row r="622" spans="13:17" x14ac:dyDescent="0.3">
      <c r="M622" t="s">
        <v>13</v>
      </c>
      <c r="N622">
        <v>75000</v>
      </c>
      <c r="Q622" s="4">
        <v>68000</v>
      </c>
    </row>
    <row r="623" spans="13:17" x14ac:dyDescent="0.3">
      <c r="M623" t="s">
        <v>13</v>
      </c>
      <c r="N623">
        <v>75000</v>
      </c>
      <c r="Q623" s="3">
        <v>68000</v>
      </c>
    </row>
    <row r="624" spans="13:17" x14ac:dyDescent="0.3">
      <c r="M624" t="s">
        <v>13</v>
      </c>
      <c r="N624">
        <v>75000</v>
      </c>
      <c r="Q624" s="4">
        <v>67500</v>
      </c>
    </row>
    <row r="625" spans="13:17" x14ac:dyDescent="0.3">
      <c r="M625" t="s">
        <v>13</v>
      </c>
      <c r="N625">
        <v>75000</v>
      </c>
      <c r="Q625" s="3">
        <v>67500</v>
      </c>
    </row>
    <row r="626" spans="13:17" x14ac:dyDescent="0.3">
      <c r="M626" t="s">
        <v>13</v>
      </c>
      <c r="N626">
        <v>75000</v>
      </c>
      <c r="Q626" s="4">
        <v>67473</v>
      </c>
    </row>
    <row r="627" spans="13:17" x14ac:dyDescent="0.3">
      <c r="M627" t="s">
        <v>13</v>
      </c>
      <c r="N627">
        <v>75000</v>
      </c>
      <c r="Q627" s="3">
        <v>67200</v>
      </c>
    </row>
    <row r="628" spans="13:17" x14ac:dyDescent="0.3">
      <c r="M628" t="s">
        <v>13</v>
      </c>
      <c r="N628">
        <v>75000</v>
      </c>
      <c r="Q628" s="4">
        <v>67000</v>
      </c>
    </row>
    <row r="629" spans="13:17" x14ac:dyDescent="0.3">
      <c r="M629" t="s">
        <v>13</v>
      </c>
      <c r="N629">
        <v>75000</v>
      </c>
      <c r="Q629" s="3">
        <v>67000</v>
      </c>
    </row>
    <row r="630" spans="13:17" x14ac:dyDescent="0.3">
      <c r="M630" t="s">
        <v>13</v>
      </c>
      <c r="N630">
        <v>75000</v>
      </c>
      <c r="Q630" s="4">
        <v>67000</v>
      </c>
    </row>
    <row r="631" spans="13:17" x14ac:dyDescent="0.3">
      <c r="M631" t="s">
        <v>13</v>
      </c>
      <c r="N631">
        <v>75000</v>
      </c>
      <c r="Q631" s="3">
        <v>67000</v>
      </c>
    </row>
    <row r="632" spans="13:17" x14ac:dyDescent="0.3">
      <c r="M632" t="s">
        <v>13</v>
      </c>
      <c r="N632">
        <v>75000</v>
      </c>
      <c r="Q632" s="4">
        <v>67000</v>
      </c>
    </row>
    <row r="633" spans="13:17" x14ac:dyDescent="0.3">
      <c r="M633" t="s">
        <v>13</v>
      </c>
      <c r="N633">
        <v>75000</v>
      </c>
      <c r="Q633" s="3">
        <v>67000</v>
      </c>
    </row>
    <row r="634" spans="13:17" x14ac:dyDescent="0.3">
      <c r="M634" t="s">
        <v>13</v>
      </c>
      <c r="N634">
        <v>75000</v>
      </c>
      <c r="Q634" s="4">
        <v>67000</v>
      </c>
    </row>
    <row r="635" spans="13:17" x14ac:dyDescent="0.3">
      <c r="M635" t="s">
        <v>13</v>
      </c>
      <c r="N635">
        <v>75000</v>
      </c>
      <c r="Q635" s="3">
        <v>67000</v>
      </c>
    </row>
    <row r="636" spans="13:17" x14ac:dyDescent="0.3">
      <c r="M636" t="s">
        <v>13</v>
      </c>
      <c r="N636">
        <v>75000</v>
      </c>
      <c r="Q636" s="4">
        <v>67000</v>
      </c>
    </row>
    <row r="637" spans="13:17" x14ac:dyDescent="0.3">
      <c r="M637" t="s">
        <v>13</v>
      </c>
      <c r="N637">
        <v>75000</v>
      </c>
      <c r="Q637" s="3">
        <v>67000</v>
      </c>
    </row>
    <row r="638" spans="13:17" x14ac:dyDescent="0.3">
      <c r="M638" t="s">
        <v>13</v>
      </c>
      <c r="N638">
        <v>75000</v>
      </c>
      <c r="Q638" s="4">
        <v>66800</v>
      </c>
    </row>
    <row r="639" spans="13:17" x14ac:dyDescent="0.3">
      <c r="M639" t="s">
        <v>13</v>
      </c>
      <c r="N639">
        <v>75000</v>
      </c>
      <c r="Q639" s="3">
        <v>66500</v>
      </c>
    </row>
    <row r="640" spans="13:17" x14ac:dyDescent="0.3">
      <c r="M640" t="s">
        <v>13</v>
      </c>
      <c r="N640">
        <v>75000</v>
      </c>
      <c r="Q640" s="4">
        <v>66300</v>
      </c>
    </row>
    <row r="641" spans="13:17" x14ac:dyDescent="0.3">
      <c r="M641" t="s">
        <v>13</v>
      </c>
      <c r="N641">
        <v>74400</v>
      </c>
      <c r="Q641" s="3">
        <v>66000</v>
      </c>
    </row>
    <row r="642" spans="13:17" x14ac:dyDescent="0.3">
      <c r="M642" t="s">
        <v>13</v>
      </c>
      <c r="N642">
        <v>74000</v>
      </c>
      <c r="Q642" s="4">
        <v>66000</v>
      </c>
    </row>
    <row r="643" spans="13:17" x14ac:dyDescent="0.3">
      <c r="M643" t="s">
        <v>13</v>
      </c>
      <c r="N643">
        <v>74000</v>
      </c>
      <c r="Q643" s="3">
        <v>66000</v>
      </c>
    </row>
    <row r="644" spans="13:17" x14ac:dyDescent="0.3">
      <c r="M644" t="s">
        <v>13</v>
      </c>
      <c r="N644">
        <v>74000</v>
      </c>
      <c r="Q644" s="4">
        <v>66000</v>
      </c>
    </row>
    <row r="645" spans="13:17" x14ac:dyDescent="0.3">
      <c r="M645" t="s">
        <v>13</v>
      </c>
      <c r="N645">
        <v>74000</v>
      </c>
      <c r="Q645" s="3">
        <v>66000</v>
      </c>
    </row>
    <row r="646" spans="13:17" x14ac:dyDescent="0.3">
      <c r="M646" t="s">
        <v>13</v>
      </c>
      <c r="N646">
        <v>74000</v>
      </c>
      <c r="Q646" s="4">
        <v>66000</v>
      </c>
    </row>
    <row r="647" spans="13:17" x14ac:dyDescent="0.3">
      <c r="M647" t="s">
        <v>13</v>
      </c>
      <c r="N647">
        <v>74000</v>
      </c>
      <c r="Q647" s="3">
        <v>66000</v>
      </c>
    </row>
    <row r="648" spans="13:17" x14ac:dyDescent="0.3">
      <c r="M648" t="s">
        <v>13</v>
      </c>
      <c r="N648">
        <v>74000</v>
      </c>
      <c r="Q648" s="4">
        <v>66000</v>
      </c>
    </row>
    <row r="649" spans="13:17" x14ac:dyDescent="0.3">
      <c r="M649" t="s">
        <v>13</v>
      </c>
      <c r="N649">
        <v>74000</v>
      </c>
      <c r="Q649" s="3">
        <v>66000</v>
      </c>
    </row>
    <row r="650" spans="13:17" x14ac:dyDescent="0.3">
      <c r="M650" t="s">
        <v>13</v>
      </c>
      <c r="N650">
        <v>74000</v>
      </c>
      <c r="Q650" s="4">
        <v>66000</v>
      </c>
    </row>
    <row r="651" spans="13:17" x14ac:dyDescent="0.3">
      <c r="M651" t="s">
        <v>13</v>
      </c>
      <c r="N651">
        <v>74000</v>
      </c>
      <c r="Q651" s="3">
        <v>66000</v>
      </c>
    </row>
    <row r="652" spans="13:17" x14ac:dyDescent="0.3">
      <c r="M652" t="s">
        <v>13</v>
      </c>
      <c r="N652">
        <v>74000</v>
      </c>
      <c r="Q652" s="4">
        <v>66000</v>
      </c>
    </row>
    <row r="653" spans="13:17" x14ac:dyDescent="0.3">
      <c r="M653" t="s">
        <v>13</v>
      </c>
      <c r="N653">
        <v>74000</v>
      </c>
      <c r="Q653" s="3">
        <v>66000</v>
      </c>
    </row>
    <row r="654" spans="13:17" x14ac:dyDescent="0.3">
      <c r="M654" t="s">
        <v>13</v>
      </c>
      <c r="N654">
        <v>73500</v>
      </c>
      <c r="Q654" s="4">
        <v>66000</v>
      </c>
    </row>
    <row r="655" spans="13:17" x14ac:dyDescent="0.3">
      <c r="M655" t="s">
        <v>13</v>
      </c>
      <c r="N655">
        <v>73000</v>
      </c>
      <c r="Q655" s="3">
        <v>65900</v>
      </c>
    </row>
    <row r="656" spans="13:17" x14ac:dyDescent="0.3">
      <c r="M656" t="s">
        <v>13</v>
      </c>
      <c r="N656">
        <v>73000</v>
      </c>
      <c r="Q656" s="4">
        <v>65600</v>
      </c>
    </row>
    <row r="657" spans="13:17" x14ac:dyDescent="0.3">
      <c r="M657" t="s">
        <v>13</v>
      </c>
      <c r="N657">
        <v>73000</v>
      </c>
      <c r="Q657" s="3">
        <v>65400</v>
      </c>
    </row>
    <row r="658" spans="13:17" x14ac:dyDescent="0.3">
      <c r="M658" t="s">
        <v>13</v>
      </c>
      <c r="N658">
        <v>73000</v>
      </c>
      <c r="Q658" s="4">
        <v>65000</v>
      </c>
    </row>
    <row r="659" spans="13:17" x14ac:dyDescent="0.3">
      <c r="M659" t="s">
        <v>13</v>
      </c>
      <c r="N659">
        <v>73000</v>
      </c>
      <c r="Q659" s="3">
        <v>65000</v>
      </c>
    </row>
    <row r="660" spans="13:17" x14ac:dyDescent="0.3">
      <c r="M660" t="s">
        <v>13</v>
      </c>
      <c r="N660">
        <v>73000</v>
      </c>
      <c r="Q660" s="4">
        <v>65000</v>
      </c>
    </row>
    <row r="661" spans="13:17" x14ac:dyDescent="0.3">
      <c r="M661" t="s">
        <v>13</v>
      </c>
      <c r="N661">
        <v>73000</v>
      </c>
      <c r="Q661" s="3">
        <v>65000</v>
      </c>
    </row>
    <row r="662" spans="13:17" x14ac:dyDescent="0.3">
      <c r="M662" t="s">
        <v>13</v>
      </c>
      <c r="N662">
        <v>73000</v>
      </c>
      <c r="Q662" s="4">
        <v>65000</v>
      </c>
    </row>
    <row r="663" spans="13:17" x14ac:dyDescent="0.3">
      <c r="M663" t="s">
        <v>13</v>
      </c>
      <c r="N663">
        <v>73000</v>
      </c>
      <c r="Q663" s="3">
        <v>65000</v>
      </c>
    </row>
    <row r="664" spans="13:17" x14ac:dyDescent="0.3">
      <c r="M664" t="s">
        <v>13</v>
      </c>
      <c r="N664">
        <v>73000</v>
      </c>
      <c r="Q664" s="4">
        <v>65000</v>
      </c>
    </row>
    <row r="665" spans="13:17" x14ac:dyDescent="0.3">
      <c r="M665" t="s">
        <v>13</v>
      </c>
      <c r="N665">
        <v>72500</v>
      </c>
      <c r="Q665" s="3">
        <v>65000</v>
      </c>
    </row>
    <row r="666" spans="13:17" x14ac:dyDescent="0.3">
      <c r="M666" t="s">
        <v>13</v>
      </c>
      <c r="N666">
        <v>72000</v>
      </c>
      <c r="Q666" s="4">
        <v>65000</v>
      </c>
    </row>
    <row r="667" spans="13:17" x14ac:dyDescent="0.3">
      <c r="M667" t="s">
        <v>13</v>
      </c>
      <c r="N667">
        <v>72000</v>
      </c>
      <c r="Q667" s="3">
        <v>65000</v>
      </c>
    </row>
    <row r="668" spans="13:17" x14ac:dyDescent="0.3">
      <c r="M668" t="s">
        <v>13</v>
      </c>
      <c r="N668">
        <v>72000</v>
      </c>
      <c r="Q668" s="4">
        <v>65000</v>
      </c>
    </row>
    <row r="669" spans="13:17" x14ac:dyDescent="0.3">
      <c r="M669" t="s">
        <v>13</v>
      </c>
      <c r="N669">
        <v>72000</v>
      </c>
      <c r="Q669" s="3">
        <v>65000</v>
      </c>
    </row>
    <row r="670" spans="13:17" x14ac:dyDescent="0.3">
      <c r="M670" t="s">
        <v>13</v>
      </c>
      <c r="N670">
        <v>72000</v>
      </c>
      <c r="Q670" s="4">
        <v>65000</v>
      </c>
    </row>
    <row r="671" spans="13:17" x14ac:dyDescent="0.3">
      <c r="M671" t="s">
        <v>13</v>
      </c>
      <c r="N671">
        <v>72000</v>
      </c>
      <c r="Q671" s="3">
        <v>65000</v>
      </c>
    </row>
    <row r="672" spans="13:17" x14ac:dyDescent="0.3">
      <c r="M672" t="s">
        <v>13</v>
      </c>
      <c r="N672">
        <v>72000</v>
      </c>
      <c r="Q672" s="4">
        <v>65000</v>
      </c>
    </row>
    <row r="673" spans="13:17" x14ac:dyDescent="0.3">
      <c r="M673" t="s">
        <v>13</v>
      </c>
      <c r="N673">
        <v>72000</v>
      </c>
      <c r="Q673" s="3">
        <v>65000</v>
      </c>
    </row>
    <row r="674" spans="13:17" x14ac:dyDescent="0.3">
      <c r="M674" t="s">
        <v>13</v>
      </c>
      <c r="N674">
        <v>72000</v>
      </c>
      <c r="Q674" s="4">
        <v>65000</v>
      </c>
    </row>
    <row r="675" spans="13:17" x14ac:dyDescent="0.3">
      <c r="M675" t="s">
        <v>13</v>
      </c>
      <c r="N675">
        <v>72000</v>
      </c>
      <c r="Q675" s="3">
        <v>65000</v>
      </c>
    </row>
    <row r="676" spans="13:17" x14ac:dyDescent="0.3">
      <c r="M676" t="s">
        <v>13</v>
      </c>
      <c r="N676">
        <v>72000</v>
      </c>
      <c r="Q676" s="4">
        <v>65000</v>
      </c>
    </row>
    <row r="677" spans="13:17" x14ac:dyDescent="0.3">
      <c r="M677" t="s">
        <v>13</v>
      </c>
      <c r="N677">
        <v>72000</v>
      </c>
      <c r="Q677" s="3">
        <v>65000</v>
      </c>
    </row>
    <row r="678" spans="13:17" x14ac:dyDescent="0.3">
      <c r="M678" t="s">
        <v>13</v>
      </c>
      <c r="N678">
        <v>72000</v>
      </c>
      <c r="Q678" s="4">
        <v>65000</v>
      </c>
    </row>
    <row r="679" spans="13:17" x14ac:dyDescent="0.3">
      <c r="M679" t="s">
        <v>13</v>
      </c>
      <c r="N679">
        <v>72000</v>
      </c>
      <c r="Q679" s="3">
        <v>65000</v>
      </c>
    </row>
    <row r="680" spans="13:17" x14ac:dyDescent="0.3">
      <c r="M680" t="s">
        <v>13</v>
      </c>
      <c r="N680">
        <v>72000</v>
      </c>
      <c r="Q680" s="4">
        <v>65000</v>
      </c>
    </row>
    <row r="681" spans="13:17" x14ac:dyDescent="0.3">
      <c r="M681" t="s">
        <v>13</v>
      </c>
      <c r="N681">
        <v>72000</v>
      </c>
      <c r="Q681" s="3">
        <v>65000</v>
      </c>
    </row>
    <row r="682" spans="13:17" x14ac:dyDescent="0.3">
      <c r="M682" t="s">
        <v>13</v>
      </c>
      <c r="N682">
        <v>72000</v>
      </c>
      <c r="Q682" s="4">
        <v>65000</v>
      </c>
    </row>
    <row r="683" spans="13:17" x14ac:dyDescent="0.3">
      <c r="M683" t="s">
        <v>13</v>
      </c>
      <c r="N683">
        <v>72000</v>
      </c>
      <c r="Q683" s="3">
        <v>65000</v>
      </c>
    </row>
    <row r="684" spans="13:17" x14ac:dyDescent="0.3">
      <c r="M684" t="s">
        <v>13</v>
      </c>
      <c r="N684">
        <v>72000</v>
      </c>
      <c r="Q684" s="4">
        <v>65000</v>
      </c>
    </row>
    <row r="685" spans="13:17" x14ac:dyDescent="0.3">
      <c r="M685" t="s">
        <v>13</v>
      </c>
      <c r="N685">
        <v>72000</v>
      </c>
      <c r="Q685" s="3">
        <v>65000</v>
      </c>
    </row>
    <row r="686" spans="13:17" x14ac:dyDescent="0.3">
      <c r="M686" t="s">
        <v>13</v>
      </c>
      <c r="N686">
        <v>72000</v>
      </c>
      <c r="Q686" s="4">
        <v>65000</v>
      </c>
    </row>
    <row r="687" spans="13:17" x14ac:dyDescent="0.3">
      <c r="M687" t="s">
        <v>13</v>
      </c>
      <c r="N687">
        <v>72000</v>
      </c>
      <c r="Q687" s="3">
        <v>65000</v>
      </c>
    </row>
    <row r="688" spans="13:17" x14ac:dyDescent="0.3">
      <c r="M688" t="s">
        <v>13</v>
      </c>
      <c r="N688">
        <v>72000</v>
      </c>
      <c r="Q688" s="4">
        <v>65000</v>
      </c>
    </row>
    <row r="689" spans="13:17" x14ac:dyDescent="0.3">
      <c r="M689" t="s">
        <v>13</v>
      </c>
      <c r="N689">
        <v>72000</v>
      </c>
      <c r="Q689" s="3">
        <v>65000</v>
      </c>
    </row>
    <row r="690" spans="13:17" x14ac:dyDescent="0.3">
      <c r="M690" t="s">
        <v>13</v>
      </c>
      <c r="N690">
        <v>72000</v>
      </c>
      <c r="Q690" s="4">
        <v>65000</v>
      </c>
    </row>
    <row r="691" spans="13:17" x14ac:dyDescent="0.3">
      <c r="M691" t="s">
        <v>13</v>
      </c>
      <c r="N691">
        <v>72000</v>
      </c>
      <c r="Q691" s="3">
        <v>65000</v>
      </c>
    </row>
    <row r="692" spans="13:17" x14ac:dyDescent="0.3">
      <c r="M692" t="s">
        <v>13</v>
      </c>
      <c r="N692">
        <v>72000</v>
      </c>
      <c r="Q692" s="4">
        <v>65000</v>
      </c>
    </row>
    <row r="693" spans="13:17" x14ac:dyDescent="0.3">
      <c r="M693" t="s">
        <v>13</v>
      </c>
      <c r="N693">
        <v>72000</v>
      </c>
      <c r="Q693" s="3">
        <v>65000</v>
      </c>
    </row>
    <row r="694" spans="13:17" x14ac:dyDescent="0.3">
      <c r="M694" t="s">
        <v>13</v>
      </c>
      <c r="N694">
        <v>72000</v>
      </c>
      <c r="Q694" s="4">
        <v>65000</v>
      </c>
    </row>
    <row r="695" spans="13:17" x14ac:dyDescent="0.3">
      <c r="M695" t="s">
        <v>13</v>
      </c>
      <c r="N695">
        <v>72000</v>
      </c>
      <c r="Q695" s="3">
        <v>65000</v>
      </c>
    </row>
    <row r="696" spans="13:17" x14ac:dyDescent="0.3">
      <c r="M696" t="s">
        <v>13</v>
      </c>
      <c r="N696">
        <v>72000</v>
      </c>
      <c r="Q696" s="4">
        <v>65000</v>
      </c>
    </row>
    <row r="697" spans="13:17" x14ac:dyDescent="0.3">
      <c r="M697" t="s">
        <v>13</v>
      </c>
      <c r="N697">
        <v>71750</v>
      </c>
      <c r="Q697" s="3">
        <v>65000</v>
      </c>
    </row>
    <row r="698" spans="13:17" x14ac:dyDescent="0.3">
      <c r="M698" t="s">
        <v>13</v>
      </c>
      <c r="N698">
        <v>71060</v>
      </c>
      <c r="Q698" s="4">
        <v>65000</v>
      </c>
    </row>
    <row r="699" spans="13:17" x14ac:dyDescent="0.3">
      <c r="M699" t="s">
        <v>13</v>
      </c>
      <c r="N699">
        <v>71000</v>
      </c>
      <c r="Q699" s="3">
        <v>65000</v>
      </c>
    </row>
    <row r="700" spans="13:17" x14ac:dyDescent="0.3">
      <c r="M700" t="s">
        <v>13</v>
      </c>
      <c r="N700">
        <v>71000</v>
      </c>
      <c r="Q700" s="4">
        <v>65000</v>
      </c>
    </row>
    <row r="701" spans="13:17" x14ac:dyDescent="0.3">
      <c r="M701" t="s">
        <v>13</v>
      </c>
      <c r="N701">
        <v>71000</v>
      </c>
      <c r="Q701" s="3">
        <v>65000</v>
      </c>
    </row>
    <row r="702" spans="13:17" x14ac:dyDescent="0.3">
      <c r="M702" t="s">
        <v>13</v>
      </c>
      <c r="N702">
        <v>71000</v>
      </c>
      <c r="Q702" s="4">
        <v>65000</v>
      </c>
    </row>
    <row r="703" spans="13:17" x14ac:dyDescent="0.3">
      <c r="M703" t="s">
        <v>13</v>
      </c>
      <c r="N703">
        <v>70800</v>
      </c>
      <c r="Q703" s="3">
        <v>65000</v>
      </c>
    </row>
    <row r="704" spans="13:17" x14ac:dyDescent="0.3">
      <c r="M704" t="s">
        <v>13</v>
      </c>
      <c r="N704">
        <v>70800</v>
      </c>
      <c r="Q704" s="4">
        <v>65000</v>
      </c>
    </row>
    <row r="705" spans="13:17" x14ac:dyDescent="0.3">
      <c r="M705" t="s">
        <v>13</v>
      </c>
      <c r="N705">
        <v>70500</v>
      </c>
      <c r="Q705" s="3">
        <v>65000</v>
      </c>
    </row>
    <row r="706" spans="13:17" x14ac:dyDescent="0.3">
      <c r="M706" t="s">
        <v>13</v>
      </c>
      <c r="N706">
        <v>70200</v>
      </c>
      <c r="Q706" s="4">
        <v>65000</v>
      </c>
    </row>
    <row r="707" spans="13:17" x14ac:dyDescent="0.3">
      <c r="M707" t="s">
        <v>13</v>
      </c>
      <c r="N707">
        <v>70200</v>
      </c>
      <c r="Q707" s="3">
        <v>65000</v>
      </c>
    </row>
    <row r="708" spans="13:17" x14ac:dyDescent="0.3">
      <c r="M708" t="s">
        <v>13</v>
      </c>
      <c r="N708">
        <v>70000</v>
      </c>
      <c r="Q708" s="4">
        <v>65000</v>
      </c>
    </row>
    <row r="709" spans="13:17" x14ac:dyDescent="0.3">
      <c r="M709" t="s">
        <v>13</v>
      </c>
      <c r="N709">
        <v>70000</v>
      </c>
      <c r="Q709" s="3">
        <v>65000</v>
      </c>
    </row>
    <row r="710" spans="13:17" x14ac:dyDescent="0.3">
      <c r="M710" t="s">
        <v>13</v>
      </c>
      <c r="N710">
        <v>70000</v>
      </c>
      <c r="Q710" s="4">
        <v>65000</v>
      </c>
    </row>
    <row r="711" spans="13:17" x14ac:dyDescent="0.3">
      <c r="M711" t="s">
        <v>13</v>
      </c>
      <c r="N711">
        <v>70000</v>
      </c>
      <c r="Q711" s="3">
        <v>65000</v>
      </c>
    </row>
    <row r="712" spans="13:17" x14ac:dyDescent="0.3">
      <c r="M712" t="s">
        <v>13</v>
      </c>
      <c r="N712">
        <v>70000</v>
      </c>
      <c r="Q712" s="4">
        <v>65000</v>
      </c>
    </row>
    <row r="713" spans="13:17" x14ac:dyDescent="0.3">
      <c r="M713" t="s">
        <v>13</v>
      </c>
      <c r="N713">
        <v>70000</v>
      </c>
      <c r="Q713" s="3">
        <v>65000</v>
      </c>
    </row>
    <row r="714" spans="13:17" x14ac:dyDescent="0.3">
      <c r="M714" t="s">
        <v>13</v>
      </c>
      <c r="N714">
        <v>70000</v>
      </c>
      <c r="Q714" s="4">
        <v>65000</v>
      </c>
    </row>
    <row r="715" spans="13:17" x14ac:dyDescent="0.3">
      <c r="M715" t="s">
        <v>13</v>
      </c>
      <c r="N715">
        <v>70000</v>
      </c>
      <c r="Q715" s="3">
        <v>65000</v>
      </c>
    </row>
    <row r="716" spans="13:17" x14ac:dyDescent="0.3">
      <c r="M716" t="s">
        <v>13</v>
      </c>
      <c r="N716">
        <v>70000</v>
      </c>
      <c r="Q716" s="4">
        <v>65000</v>
      </c>
    </row>
    <row r="717" spans="13:17" x14ac:dyDescent="0.3">
      <c r="M717" t="s">
        <v>13</v>
      </c>
      <c r="N717">
        <v>70000</v>
      </c>
      <c r="Q717" s="3">
        <v>65000</v>
      </c>
    </row>
    <row r="718" spans="13:17" x14ac:dyDescent="0.3">
      <c r="M718" t="s">
        <v>13</v>
      </c>
      <c r="N718">
        <v>70000</v>
      </c>
      <c r="Q718" s="4">
        <v>65000</v>
      </c>
    </row>
    <row r="719" spans="13:17" x14ac:dyDescent="0.3">
      <c r="M719" t="s">
        <v>13</v>
      </c>
      <c r="N719">
        <v>70000</v>
      </c>
      <c r="Q719" s="3">
        <v>64800</v>
      </c>
    </row>
    <row r="720" spans="13:17" x14ac:dyDescent="0.3">
      <c r="M720" t="s">
        <v>13</v>
      </c>
      <c r="N720">
        <v>70000</v>
      </c>
      <c r="Q720" s="4">
        <v>64000</v>
      </c>
    </row>
    <row r="721" spans="13:17" x14ac:dyDescent="0.3">
      <c r="M721" t="s">
        <v>13</v>
      </c>
      <c r="N721">
        <v>70000</v>
      </c>
      <c r="Q721" s="3">
        <v>64000</v>
      </c>
    </row>
    <row r="722" spans="13:17" x14ac:dyDescent="0.3">
      <c r="M722" t="s">
        <v>13</v>
      </c>
      <c r="N722">
        <v>70000</v>
      </c>
      <c r="Q722" s="4">
        <v>64000</v>
      </c>
    </row>
    <row r="723" spans="13:17" x14ac:dyDescent="0.3">
      <c r="M723" t="s">
        <v>13</v>
      </c>
      <c r="N723">
        <v>70000</v>
      </c>
      <c r="Q723" s="3">
        <v>64000</v>
      </c>
    </row>
    <row r="724" spans="13:17" x14ac:dyDescent="0.3">
      <c r="M724" t="s">
        <v>13</v>
      </c>
      <c r="N724">
        <v>70000</v>
      </c>
      <c r="Q724" s="4">
        <v>64000</v>
      </c>
    </row>
    <row r="725" spans="13:17" x14ac:dyDescent="0.3">
      <c r="M725" t="s">
        <v>13</v>
      </c>
      <c r="N725">
        <v>70000</v>
      </c>
      <c r="Q725" s="3">
        <v>64000</v>
      </c>
    </row>
    <row r="726" spans="13:17" x14ac:dyDescent="0.3">
      <c r="M726" t="s">
        <v>13</v>
      </c>
      <c r="N726">
        <v>70000</v>
      </c>
      <c r="Q726" s="4">
        <v>64000</v>
      </c>
    </row>
    <row r="727" spans="13:17" x14ac:dyDescent="0.3">
      <c r="M727" t="s">
        <v>13</v>
      </c>
      <c r="N727">
        <v>70000</v>
      </c>
      <c r="Q727" s="3">
        <v>64000</v>
      </c>
    </row>
    <row r="728" spans="13:17" x14ac:dyDescent="0.3">
      <c r="M728" t="s">
        <v>13</v>
      </c>
      <c r="N728">
        <v>70000</v>
      </c>
      <c r="Q728" s="4">
        <v>63700</v>
      </c>
    </row>
    <row r="729" spans="13:17" x14ac:dyDescent="0.3">
      <c r="M729" t="s">
        <v>13</v>
      </c>
      <c r="N729">
        <v>70000</v>
      </c>
      <c r="Q729" s="3">
        <v>63500</v>
      </c>
    </row>
    <row r="730" spans="13:17" x14ac:dyDescent="0.3">
      <c r="M730" t="s">
        <v>13</v>
      </c>
      <c r="N730">
        <v>70000</v>
      </c>
      <c r="Q730" s="4">
        <v>63000</v>
      </c>
    </row>
    <row r="731" spans="13:17" x14ac:dyDescent="0.3">
      <c r="M731" t="s">
        <v>13</v>
      </c>
      <c r="N731">
        <v>70000</v>
      </c>
      <c r="Q731" s="3">
        <v>63000</v>
      </c>
    </row>
    <row r="732" spans="13:17" x14ac:dyDescent="0.3">
      <c r="M732" t="s">
        <v>13</v>
      </c>
      <c r="N732">
        <v>70000</v>
      </c>
      <c r="Q732" s="4">
        <v>63000</v>
      </c>
    </row>
    <row r="733" spans="13:17" x14ac:dyDescent="0.3">
      <c r="M733" t="s">
        <v>13</v>
      </c>
      <c r="N733">
        <v>70000</v>
      </c>
      <c r="Q733" s="3">
        <v>63000</v>
      </c>
    </row>
    <row r="734" spans="13:17" x14ac:dyDescent="0.3">
      <c r="M734" t="s">
        <v>13</v>
      </c>
      <c r="N734">
        <v>70000</v>
      </c>
      <c r="Q734" s="4">
        <v>63000</v>
      </c>
    </row>
    <row r="735" spans="13:17" x14ac:dyDescent="0.3">
      <c r="M735" t="s">
        <v>13</v>
      </c>
      <c r="N735">
        <v>70000</v>
      </c>
      <c r="Q735" s="3">
        <v>63000</v>
      </c>
    </row>
    <row r="736" spans="13:17" x14ac:dyDescent="0.3">
      <c r="M736" t="s">
        <v>13</v>
      </c>
      <c r="N736">
        <v>70000</v>
      </c>
      <c r="Q736" s="4">
        <v>63000</v>
      </c>
    </row>
    <row r="737" spans="13:17" x14ac:dyDescent="0.3">
      <c r="M737" t="s">
        <v>13</v>
      </c>
      <c r="N737">
        <v>70000</v>
      </c>
      <c r="Q737" s="3">
        <v>63000</v>
      </c>
    </row>
    <row r="738" spans="13:17" x14ac:dyDescent="0.3">
      <c r="M738" t="s">
        <v>13</v>
      </c>
      <c r="N738">
        <v>70000</v>
      </c>
      <c r="Q738" s="4">
        <v>63000</v>
      </c>
    </row>
    <row r="739" spans="13:17" x14ac:dyDescent="0.3">
      <c r="M739" t="s">
        <v>13</v>
      </c>
      <c r="N739">
        <v>70000</v>
      </c>
      <c r="Q739" s="3">
        <v>63000</v>
      </c>
    </row>
    <row r="740" spans="13:17" x14ac:dyDescent="0.3">
      <c r="M740" t="s">
        <v>13</v>
      </c>
      <c r="N740">
        <v>70000</v>
      </c>
      <c r="Q740" s="4">
        <v>63000</v>
      </c>
    </row>
    <row r="741" spans="13:17" x14ac:dyDescent="0.3">
      <c r="M741" t="s">
        <v>13</v>
      </c>
      <c r="N741">
        <v>70000</v>
      </c>
      <c r="Q741" s="3">
        <v>63000</v>
      </c>
    </row>
    <row r="742" spans="13:17" x14ac:dyDescent="0.3">
      <c r="M742" t="s">
        <v>13</v>
      </c>
      <c r="N742">
        <v>70000</v>
      </c>
      <c r="Q742" s="4">
        <v>62500</v>
      </c>
    </row>
    <row r="743" spans="13:17" x14ac:dyDescent="0.3">
      <c r="M743" t="s">
        <v>13</v>
      </c>
      <c r="N743">
        <v>70000</v>
      </c>
      <c r="Q743" s="3">
        <v>62400</v>
      </c>
    </row>
    <row r="744" spans="13:17" x14ac:dyDescent="0.3">
      <c r="M744" t="s">
        <v>13</v>
      </c>
      <c r="N744">
        <v>70000</v>
      </c>
      <c r="Q744" s="4">
        <v>62000</v>
      </c>
    </row>
    <row r="745" spans="13:17" x14ac:dyDescent="0.3">
      <c r="M745" t="s">
        <v>13</v>
      </c>
      <c r="N745">
        <v>70000</v>
      </c>
      <c r="Q745" s="3">
        <v>62000</v>
      </c>
    </row>
    <row r="746" spans="13:17" x14ac:dyDescent="0.3">
      <c r="M746" t="s">
        <v>13</v>
      </c>
      <c r="N746">
        <v>70000</v>
      </c>
      <c r="Q746" s="4">
        <v>62000</v>
      </c>
    </row>
    <row r="747" spans="13:17" x14ac:dyDescent="0.3">
      <c r="M747" t="s">
        <v>13</v>
      </c>
      <c r="N747">
        <v>70000</v>
      </c>
      <c r="Q747" s="3">
        <v>62000</v>
      </c>
    </row>
    <row r="748" spans="13:17" x14ac:dyDescent="0.3">
      <c r="M748" t="s">
        <v>13</v>
      </c>
      <c r="N748">
        <v>70000</v>
      </c>
      <c r="Q748" s="4">
        <v>62000</v>
      </c>
    </row>
    <row r="749" spans="13:17" x14ac:dyDescent="0.3">
      <c r="M749" t="s">
        <v>13</v>
      </c>
      <c r="N749">
        <v>70000</v>
      </c>
      <c r="Q749" s="3">
        <v>62000</v>
      </c>
    </row>
    <row r="750" spans="13:17" x14ac:dyDescent="0.3">
      <c r="M750" t="s">
        <v>13</v>
      </c>
      <c r="N750">
        <v>70000</v>
      </c>
      <c r="Q750" s="4">
        <v>62000</v>
      </c>
    </row>
    <row r="751" spans="13:17" x14ac:dyDescent="0.3">
      <c r="M751" t="s">
        <v>13</v>
      </c>
      <c r="N751">
        <v>70000</v>
      </c>
      <c r="Q751" s="3">
        <v>62000</v>
      </c>
    </row>
    <row r="752" spans="13:17" x14ac:dyDescent="0.3">
      <c r="M752" t="s">
        <v>13</v>
      </c>
      <c r="N752">
        <v>70000</v>
      </c>
      <c r="Q752" s="4">
        <v>62000</v>
      </c>
    </row>
    <row r="753" spans="13:17" x14ac:dyDescent="0.3">
      <c r="M753" t="s">
        <v>13</v>
      </c>
      <c r="N753">
        <v>70000</v>
      </c>
      <c r="Q753" s="3">
        <v>62000</v>
      </c>
    </row>
    <row r="754" spans="13:17" x14ac:dyDescent="0.3">
      <c r="M754" t="s">
        <v>13</v>
      </c>
      <c r="N754">
        <v>70000</v>
      </c>
      <c r="Q754" s="4">
        <v>62000</v>
      </c>
    </row>
    <row r="755" spans="13:17" x14ac:dyDescent="0.3">
      <c r="M755" t="s">
        <v>13</v>
      </c>
      <c r="N755">
        <v>70000</v>
      </c>
      <c r="Q755" s="3">
        <v>62000</v>
      </c>
    </row>
    <row r="756" spans="13:17" x14ac:dyDescent="0.3">
      <c r="M756" t="s">
        <v>13</v>
      </c>
      <c r="N756">
        <v>70000</v>
      </c>
      <c r="Q756" s="4">
        <v>62000</v>
      </c>
    </row>
    <row r="757" spans="13:17" x14ac:dyDescent="0.3">
      <c r="M757" t="s">
        <v>13</v>
      </c>
      <c r="N757">
        <v>70000</v>
      </c>
      <c r="Q757" s="3">
        <v>62000</v>
      </c>
    </row>
    <row r="758" spans="13:17" x14ac:dyDescent="0.3">
      <c r="M758" t="s">
        <v>13</v>
      </c>
      <c r="N758">
        <v>70000</v>
      </c>
      <c r="Q758" s="4">
        <v>62000</v>
      </c>
    </row>
    <row r="759" spans="13:17" x14ac:dyDescent="0.3">
      <c r="M759" t="s">
        <v>13</v>
      </c>
      <c r="N759">
        <v>70000</v>
      </c>
      <c r="Q759" s="3">
        <v>62000</v>
      </c>
    </row>
    <row r="760" spans="13:17" x14ac:dyDescent="0.3">
      <c r="M760" t="s">
        <v>13</v>
      </c>
      <c r="N760">
        <v>70000</v>
      </c>
      <c r="Q760" s="4">
        <v>62000</v>
      </c>
    </row>
    <row r="761" spans="13:17" x14ac:dyDescent="0.3">
      <c r="M761" t="s">
        <v>13</v>
      </c>
      <c r="N761">
        <v>70000</v>
      </c>
      <c r="Q761" s="3">
        <v>62000</v>
      </c>
    </row>
    <row r="762" spans="13:17" x14ac:dyDescent="0.3">
      <c r="M762" t="s">
        <v>13</v>
      </c>
      <c r="N762">
        <v>70000</v>
      </c>
      <c r="Q762" s="4">
        <v>62000</v>
      </c>
    </row>
    <row r="763" spans="13:17" x14ac:dyDescent="0.3">
      <c r="M763" t="s">
        <v>13</v>
      </c>
      <c r="N763">
        <v>70000</v>
      </c>
      <c r="Q763" s="3">
        <v>61500</v>
      </c>
    </row>
    <row r="764" spans="13:17" x14ac:dyDescent="0.3">
      <c r="M764" t="s">
        <v>13</v>
      </c>
      <c r="N764">
        <v>70000</v>
      </c>
      <c r="Q764" s="4">
        <v>61500</v>
      </c>
    </row>
    <row r="765" spans="13:17" x14ac:dyDescent="0.3">
      <c r="M765" t="s">
        <v>13</v>
      </c>
      <c r="N765">
        <v>70000</v>
      </c>
      <c r="Q765" s="3">
        <v>61200</v>
      </c>
    </row>
    <row r="766" spans="13:17" x14ac:dyDescent="0.3">
      <c r="M766" t="s">
        <v>13</v>
      </c>
      <c r="N766">
        <v>70000</v>
      </c>
      <c r="Q766" s="4">
        <v>61000</v>
      </c>
    </row>
    <row r="767" spans="13:17" x14ac:dyDescent="0.3">
      <c r="M767" t="s">
        <v>13</v>
      </c>
      <c r="N767">
        <v>70000</v>
      </c>
      <c r="Q767" s="3">
        <v>61000</v>
      </c>
    </row>
    <row r="768" spans="13:17" x14ac:dyDescent="0.3">
      <c r="M768" t="s">
        <v>13</v>
      </c>
      <c r="N768">
        <v>70000</v>
      </c>
      <c r="Q768" s="4">
        <v>60350</v>
      </c>
    </row>
    <row r="769" spans="13:17" x14ac:dyDescent="0.3">
      <c r="M769" t="s">
        <v>13</v>
      </c>
      <c r="N769">
        <v>70000</v>
      </c>
      <c r="Q769" s="3">
        <v>60000</v>
      </c>
    </row>
    <row r="770" spans="13:17" x14ac:dyDescent="0.3">
      <c r="M770" t="s">
        <v>13</v>
      </c>
      <c r="N770">
        <v>70000</v>
      </c>
      <c r="Q770" s="4">
        <v>60000</v>
      </c>
    </row>
    <row r="771" spans="13:17" x14ac:dyDescent="0.3">
      <c r="M771" t="s">
        <v>13</v>
      </c>
      <c r="N771">
        <v>70000</v>
      </c>
      <c r="Q771" s="3">
        <v>60000</v>
      </c>
    </row>
    <row r="772" spans="13:17" x14ac:dyDescent="0.3">
      <c r="M772" t="s">
        <v>13</v>
      </c>
      <c r="N772">
        <v>70000</v>
      </c>
      <c r="Q772" s="4">
        <v>60000</v>
      </c>
    </row>
    <row r="773" spans="13:17" x14ac:dyDescent="0.3">
      <c r="M773" t="s">
        <v>13</v>
      </c>
      <c r="N773">
        <v>70000</v>
      </c>
      <c r="Q773" s="3">
        <v>60000</v>
      </c>
    </row>
    <row r="774" spans="13:17" x14ac:dyDescent="0.3">
      <c r="M774" t="s">
        <v>13</v>
      </c>
      <c r="N774">
        <v>70000</v>
      </c>
      <c r="Q774" s="4">
        <v>60000</v>
      </c>
    </row>
    <row r="775" spans="13:17" x14ac:dyDescent="0.3">
      <c r="M775" t="s">
        <v>13</v>
      </c>
      <c r="N775">
        <v>70000</v>
      </c>
      <c r="Q775" s="3">
        <v>60000</v>
      </c>
    </row>
    <row r="776" spans="13:17" x14ac:dyDescent="0.3">
      <c r="M776" t="s">
        <v>13</v>
      </c>
      <c r="N776">
        <v>70000</v>
      </c>
      <c r="Q776" s="4">
        <v>60000</v>
      </c>
    </row>
    <row r="777" spans="13:17" x14ac:dyDescent="0.3">
      <c r="M777" t="s">
        <v>13</v>
      </c>
      <c r="N777">
        <v>70000</v>
      </c>
      <c r="Q777" s="3">
        <v>60000</v>
      </c>
    </row>
    <row r="778" spans="13:17" x14ac:dyDescent="0.3">
      <c r="M778" t="s">
        <v>13</v>
      </c>
      <c r="N778">
        <v>70000</v>
      </c>
      <c r="Q778" s="4">
        <v>60000</v>
      </c>
    </row>
    <row r="779" spans="13:17" x14ac:dyDescent="0.3">
      <c r="M779" t="s">
        <v>13</v>
      </c>
      <c r="N779">
        <v>69200</v>
      </c>
      <c r="Q779" s="3">
        <v>60000</v>
      </c>
    </row>
    <row r="780" spans="13:17" x14ac:dyDescent="0.3">
      <c r="M780" t="s">
        <v>13</v>
      </c>
      <c r="N780">
        <v>69000</v>
      </c>
      <c r="Q780" s="4">
        <v>60000</v>
      </c>
    </row>
    <row r="781" spans="13:17" x14ac:dyDescent="0.3">
      <c r="M781" t="s">
        <v>13</v>
      </c>
      <c r="N781">
        <v>69000</v>
      </c>
      <c r="Q781" s="3">
        <v>60000</v>
      </c>
    </row>
    <row r="782" spans="13:17" x14ac:dyDescent="0.3">
      <c r="M782" t="s">
        <v>13</v>
      </c>
      <c r="N782">
        <v>69000</v>
      </c>
      <c r="Q782" s="4">
        <v>60000</v>
      </c>
    </row>
    <row r="783" spans="13:17" x14ac:dyDescent="0.3">
      <c r="M783" t="s">
        <v>13</v>
      </c>
      <c r="N783">
        <v>69000</v>
      </c>
      <c r="Q783" s="3">
        <v>60000</v>
      </c>
    </row>
    <row r="784" spans="13:17" x14ac:dyDescent="0.3">
      <c r="M784" t="s">
        <v>13</v>
      </c>
      <c r="N784">
        <v>69000</v>
      </c>
      <c r="Q784" s="4">
        <v>60000</v>
      </c>
    </row>
    <row r="785" spans="13:17" x14ac:dyDescent="0.3">
      <c r="M785" t="s">
        <v>13</v>
      </c>
      <c r="N785">
        <v>69000</v>
      </c>
      <c r="Q785" s="3">
        <v>60000</v>
      </c>
    </row>
    <row r="786" spans="13:17" x14ac:dyDescent="0.3">
      <c r="M786" t="s">
        <v>13</v>
      </c>
      <c r="N786">
        <v>68500</v>
      </c>
      <c r="Q786" s="4">
        <v>60000</v>
      </c>
    </row>
    <row r="787" spans="13:17" x14ac:dyDescent="0.3">
      <c r="M787" t="s">
        <v>13</v>
      </c>
      <c r="N787">
        <v>68500</v>
      </c>
      <c r="Q787" s="3">
        <v>60000</v>
      </c>
    </row>
    <row r="788" spans="13:17" x14ac:dyDescent="0.3">
      <c r="M788" t="s">
        <v>13</v>
      </c>
      <c r="N788">
        <v>68500</v>
      </c>
      <c r="Q788" s="4">
        <v>60000</v>
      </c>
    </row>
    <row r="789" spans="13:17" x14ac:dyDescent="0.3">
      <c r="M789" t="s">
        <v>13</v>
      </c>
      <c r="N789">
        <v>68500</v>
      </c>
      <c r="Q789" s="3">
        <v>60000</v>
      </c>
    </row>
    <row r="790" spans="13:17" x14ac:dyDescent="0.3">
      <c r="M790" t="s">
        <v>13</v>
      </c>
      <c r="N790">
        <v>68500</v>
      </c>
      <c r="Q790" s="4">
        <v>60000</v>
      </c>
    </row>
    <row r="791" spans="13:17" x14ac:dyDescent="0.3">
      <c r="M791" t="s">
        <v>13</v>
      </c>
      <c r="N791">
        <v>68250</v>
      </c>
      <c r="Q791" s="3">
        <v>60000</v>
      </c>
    </row>
    <row r="792" spans="13:17" x14ac:dyDescent="0.3">
      <c r="M792" t="s">
        <v>13</v>
      </c>
      <c r="N792">
        <v>68000</v>
      </c>
      <c r="Q792" s="4">
        <v>60000</v>
      </c>
    </row>
    <row r="793" spans="13:17" x14ac:dyDescent="0.3">
      <c r="M793" t="s">
        <v>13</v>
      </c>
      <c r="N793">
        <v>68000</v>
      </c>
      <c r="Q793" s="3">
        <v>60000</v>
      </c>
    </row>
    <row r="794" spans="13:17" x14ac:dyDescent="0.3">
      <c r="M794" t="s">
        <v>13</v>
      </c>
      <c r="N794">
        <v>68000</v>
      </c>
      <c r="Q794" s="4">
        <v>60000</v>
      </c>
    </row>
    <row r="795" spans="13:17" x14ac:dyDescent="0.3">
      <c r="M795" t="s">
        <v>13</v>
      </c>
      <c r="N795">
        <v>68000</v>
      </c>
      <c r="Q795" s="3">
        <v>60000</v>
      </c>
    </row>
    <row r="796" spans="13:17" x14ac:dyDescent="0.3">
      <c r="M796" t="s">
        <v>13</v>
      </c>
      <c r="N796">
        <v>68000</v>
      </c>
      <c r="Q796" s="4">
        <v>60000</v>
      </c>
    </row>
    <row r="797" spans="13:17" x14ac:dyDescent="0.3">
      <c r="M797" t="s">
        <v>13</v>
      </c>
      <c r="N797">
        <v>68000</v>
      </c>
      <c r="Q797" s="3">
        <v>60000</v>
      </c>
    </row>
    <row r="798" spans="13:17" x14ac:dyDescent="0.3">
      <c r="M798" t="s">
        <v>13</v>
      </c>
      <c r="N798">
        <v>68000</v>
      </c>
      <c r="Q798" s="4">
        <v>60000</v>
      </c>
    </row>
    <row r="799" spans="13:17" x14ac:dyDescent="0.3">
      <c r="M799" t="s">
        <v>13</v>
      </c>
      <c r="N799">
        <v>68000</v>
      </c>
      <c r="Q799" s="3">
        <v>60000</v>
      </c>
    </row>
    <row r="800" spans="13:17" x14ac:dyDescent="0.3">
      <c r="M800" t="s">
        <v>13</v>
      </c>
      <c r="N800">
        <v>68000</v>
      </c>
      <c r="Q800" s="4">
        <v>60000</v>
      </c>
    </row>
    <row r="801" spans="13:17" x14ac:dyDescent="0.3">
      <c r="M801" t="s">
        <v>13</v>
      </c>
      <c r="N801">
        <v>68000</v>
      </c>
      <c r="Q801" s="3">
        <v>60000</v>
      </c>
    </row>
    <row r="802" spans="13:17" x14ac:dyDescent="0.3">
      <c r="M802" t="s">
        <v>13</v>
      </c>
      <c r="N802">
        <v>68000</v>
      </c>
      <c r="Q802" s="4">
        <v>60000</v>
      </c>
    </row>
    <row r="803" spans="13:17" x14ac:dyDescent="0.3">
      <c r="M803" t="s">
        <v>13</v>
      </c>
      <c r="N803">
        <v>68000</v>
      </c>
      <c r="Q803" s="3">
        <v>60000</v>
      </c>
    </row>
    <row r="804" spans="13:17" x14ac:dyDescent="0.3">
      <c r="M804" t="s">
        <v>13</v>
      </c>
      <c r="N804">
        <v>68000</v>
      </c>
      <c r="Q804" s="4">
        <v>60000</v>
      </c>
    </row>
    <row r="805" spans="13:17" x14ac:dyDescent="0.3">
      <c r="M805" t="s">
        <v>13</v>
      </c>
      <c r="N805">
        <v>68000</v>
      </c>
      <c r="Q805" s="3">
        <v>60000</v>
      </c>
    </row>
    <row r="806" spans="13:17" x14ac:dyDescent="0.3">
      <c r="M806" t="s">
        <v>13</v>
      </c>
      <c r="N806">
        <v>68000</v>
      </c>
      <c r="Q806" s="4">
        <v>60000</v>
      </c>
    </row>
    <row r="807" spans="13:17" x14ac:dyDescent="0.3">
      <c r="M807" t="s">
        <v>13</v>
      </c>
      <c r="N807">
        <v>68000</v>
      </c>
      <c r="Q807" s="3">
        <v>60000</v>
      </c>
    </row>
    <row r="808" spans="13:17" x14ac:dyDescent="0.3">
      <c r="M808" t="s">
        <v>13</v>
      </c>
      <c r="N808">
        <v>68000</v>
      </c>
      <c r="Q808" s="4">
        <v>60000</v>
      </c>
    </row>
    <row r="809" spans="13:17" x14ac:dyDescent="0.3">
      <c r="M809" t="s">
        <v>13</v>
      </c>
      <c r="N809">
        <v>68000</v>
      </c>
      <c r="Q809" s="3">
        <v>60000</v>
      </c>
    </row>
    <row r="810" spans="13:17" x14ac:dyDescent="0.3">
      <c r="M810" t="s">
        <v>13</v>
      </c>
      <c r="N810">
        <v>68000</v>
      </c>
      <c r="Q810" s="4">
        <v>60000</v>
      </c>
    </row>
    <row r="811" spans="13:17" x14ac:dyDescent="0.3">
      <c r="M811" t="s">
        <v>13</v>
      </c>
      <c r="N811">
        <v>68000</v>
      </c>
      <c r="Q811" s="3">
        <v>60000</v>
      </c>
    </row>
    <row r="812" spans="13:17" x14ac:dyDescent="0.3">
      <c r="M812" t="s">
        <v>13</v>
      </c>
      <c r="N812">
        <v>68000</v>
      </c>
      <c r="Q812" s="4">
        <v>60000</v>
      </c>
    </row>
    <row r="813" spans="13:17" x14ac:dyDescent="0.3">
      <c r="M813" t="s">
        <v>13</v>
      </c>
      <c r="N813">
        <v>67500</v>
      </c>
      <c r="Q813" s="3">
        <v>60000</v>
      </c>
    </row>
    <row r="814" spans="13:17" x14ac:dyDescent="0.3">
      <c r="M814" t="s">
        <v>13</v>
      </c>
      <c r="N814">
        <v>67500</v>
      </c>
      <c r="Q814" s="4">
        <v>60000</v>
      </c>
    </row>
    <row r="815" spans="13:17" x14ac:dyDescent="0.3">
      <c r="M815" t="s">
        <v>13</v>
      </c>
      <c r="N815">
        <v>67473</v>
      </c>
      <c r="Q815" s="3">
        <v>60000</v>
      </c>
    </row>
    <row r="816" spans="13:17" x14ac:dyDescent="0.3">
      <c r="M816" t="s">
        <v>13</v>
      </c>
      <c r="N816">
        <v>67200</v>
      </c>
      <c r="Q816" s="4">
        <v>60000</v>
      </c>
    </row>
    <row r="817" spans="13:17" x14ac:dyDescent="0.3">
      <c r="M817" t="s">
        <v>13</v>
      </c>
      <c r="N817">
        <v>67000</v>
      </c>
      <c r="Q817" s="3">
        <v>60000</v>
      </c>
    </row>
    <row r="818" spans="13:17" x14ac:dyDescent="0.3">
      <c r="M818" t="s">
        <v>13</v>
      </c>
      <c r="N818">
        <v>67000</v>
      </c>
      <c r="Q818" s="4">
        <v>60000</v>
      </c>
    </row>
    <row r="819" spans="13:17" x14ac:dyDescent="0.3">
      <c r="M819" t="s">
        <v>13</v>
      </c>
      <c r="N819">
        <v>67000</v>
      </c>
      <c r="Q819" s="3">
        <v>60000</v>
      </c>
    </row>
    <row r="820" spans="13:17" x14ac:dyDescent="0.3">
      <c r="M820" t="s">
        <v>13</v>
      </c>
      <c r="N820">
        <v>67000</v>
      </c>
      <c r="Q820" s="4">
        <v>60000</v>
      </c>
    </row>
    <row r="821" spans="13:17" x14ac:dyDescent="0.3">
      <c r="M821" t="s">
        <v>13</v>
      </c>
      <c r="N821">
        <v>67000</v>
      </c>
      <c r="Q821" s="3">
        <v>60000</v>
      </c>
    </row>
    <row r="822" spans="13:17" x14ac:dyDescent="0.3">
      <c r="M822" t="s">
        <v>13</v>
      </c>
      <c r="N822">
        <v>67000</v>
      </c>
      <c r="Q822" s="4">
        <v>60000</v>
      </c>
    </row>
    <row r="823" spans="13:17" x14ac:dyDescent="0.3">
      <c r="M823" t="s">
        <v>13</v>
      </c>
      <c r="N823">
        <v>67000</v>
      </c>
      <c r="Q823" s="3">
        <v>60000</v>
      </c>
    </row>
    <row r="824" spans="13:17" x14ac:dyDescent="0.3">
      <c r="M824" t="s">
        <v>13</v>
      </c>
      <c r="N824">
        <v>67000</v>
      </c>
      <c r="Q824" s="4">
        <v>60000</v>
      </c>
    </row>
    <row r="825" spans="13:17" x14ac:dyDescent="0.3">
      <c r="M825" t="s">
        <v>13</v>
      </c>
      <c r="N825">
        <v>67000</v>
      </c>
      <c r="Q825" s="3">
        <v>60000</v>
      </c>
    </row>
    <row r="826" spans="13:17" x14ac:dyDescent="0.3">
      <c r="M826" t="s">
        <v>13</v>
      </c>
      <c r="N826">
        <v>67000</v>
      </c>
      <c r="Q826" s="4">
        <v>60000</v>
      </c>
    </row>
    <row r="827" spans="13:17" x14ac:dyDescent="0.3">
      <c r="M827" t="s">
        <v>13</v>
      </c>
      <c r="N827">
        <v>66800</v>
      </c>
      <c r="Q827" s="3">
        <v>59064</v>
      </c>
    </row>
    <row r="828" spans="13:17" x14ac:dyDescent="0.3">
      <c r="M828" t="s">
        <v>13</v>
      </c>
      <c r="N828">
        <v>66500</v>
      </c>
      <c r="Q828" s="4">
        <v>59000</v>
      </c>
    </row>
    <row r="829" spans="13:17" x14ac:dyDescent="0.3">
      <c r="M829" t="s">
        <v>13</v>
      </c>
      <c r="N829">
        <v>66300</v>
      </c>
      <c r="Q829" s="3">
        <v>59000</v>
      </c>
    </row>
    <row r="830" spans="13:17" x14ac:dyDescent="0.3">
      <c r="M830" t="s">
        <v>13</v>
      </c>
      <c r="N830">
        <v>66000</v>
      </c>
      <c r="Q830" s="4">
        <v>59000</v>
      </c>
    </row>
    <row r="831" spans="13:17" x14ac:dyDescent="0.3">
      <c r="M831" t="s">
        <v>13</v>
      </c>
      <c r="N831">
        <v>66000</v>
      </c>
      <c r="Q831" s="3">
        <v>58800</v>
      </c>
    </row>
    <row r="832" spans="13:17" x14ac:dyDescent="0.3">
      <c r="M832" t="s">
        <v>13</v>
      </c>
      <c r="N832">
        <v>66000</v>
      </c>
      <c r="Q832" s="4">
        <v>58000</v>
      </c>
    </row>
    <row r="833" spans="13:17" x14ac:dyDescent="0.3">
      <c r="M833" t="s">
        <v>13</v>
      </c>
      <c r="N833">
        <v>66000</v>
      </c>
      <c r="Q833" s="3">
        <v>58000</v>
      </c>
    </row>
    <row r="834" spans="13:17" x14ac:dyDescent="0.3">
      <c r="M834" t="s">
        <v>13</v>
      </c>
      <c r="N834">
        <v>66000</v>
      </c>
      <c r="Q834" s="4">
        <v>58000</v>
      </c>
    </row>
    <row r="835" spans="13:17" x14ac:dyDescent="0.3">
      <c r="M835" t="s">
        <v>13</v>
      </c>
      <c r="N835">
        <v>66000</v>
      </c>
      <c r="Q835" s="3">
        <v>58000</v>
      </c>
    </row>
    <row r="836" spans="13:17" x14ac:dyDescent="0.3">
      <c r="M836" t="s">
        <v>13</v>
      </c>
      <c r="N836">
        <v>66000</v>
      </c>
      <c r="Q836" s="4">
        <v>58000</v>
      </c>
    </row>
    <row r="837" spans="13:17" x14ac:dyDescent="0.3">
      <c r="M837" t="s">
        <v>13</v>
      </c>
      <c r="N837">
        <v>66000</v>
      </c>
      <c r="Q837" s="3">
        <v>58000</v>
      </c>
    </row>
    <row r="838" spans="13:17" x14ac:dyDescent="0.3">
      <c r="M838" t="s">
        <v>13</v>
      </c>
      <c r="N838">
        <v>66000</v>
      </c>
      <c r="Q838" s="4">
        <v>58000</v>
      </c>
    </row>
    <row r="839" spans="13:17" x14ac:dyDescent="0.3">
      <c r="M839" t="s">
        <v>13</v>
      </c>
      <c r="N839">
        <v>66000</v>
      </c>
      <c r="Q839" s="3">
        <v>58000</v>
      </c>
    </row>
    <row r="840" spans="13:17" x14ac:dyDescent="0.3">
      <c r="M840" t="s">
        <v>13</v>
      </c>
      <c r="N840">
        <v>66000</v>
      </c>
      <c r="Q840" s="4">
        <v>58000</v>
      </c>
    </row>
    <row r="841" spans="13:17" x14ac:dyDescent="0.3">
      <c r="M841" t="s">
        <v>13</v>
      </c>
      <c r="N841">
        <v>66000</v>
      </c>
      <c r="Q841" s="3">
        <v>58000</v>
      </c>
    </row>
    <row r="842" spans="13:17" x14ac:dyDescent="0.3">
      <c r="M842" t="s">
        <v>13</v>
      </c>
      <c r="N842">
        <v>66000</v>
      </c>
      <c r="Q842" s="4">
        <v>58000</v>
      </c>
    </row>
    <row r="843" spans="13:17" x14ac:dyDescent="0.3">
      <c r="M843" t="s">
        <v>13</v>
      </c>
      <c r="N843">
        <v>66000</v>
      </c>
      <c r="Q843" s="3">
        <v>57750</v>
      </c>
    </row>
    <row r="844" spans="13:17" x14ac:dyDescent="0.3">
      <c r="M844" t="s">
        <v>13</v>
      </c>
      <c r="N844">
        <v>65900</v>
      </c>
      <c r="Q844" s="4">
        <v>57600</v>
      </c>
    </row>
    <row r="845" spans="13:17" x14ac:dyDescent="0.3">
      <c r="M845" t="s">
        <v>13</v>
      </c>
      <c r="N845">
        <v>65600</v>
      </c>
      <c r="Q845" s="3">
        <v>57600</v>
      </c>
    </row>
    <row r="846" spans="13:17" x14ac:dyDescent="0.3">
      <c r="M846" t="s">
        <v>13</v>
      </c>
      <c r="N846">
        <v>65400</v>
      </c>
      <c r="Q846" s="4">
        <v>57000</v>
      </c>
    </row>
    <row r="847" spans="13:17" x14ac:dyDescent="0.3">
      <c r="M847" t="s">
        <v>13</v>
      </c>
      <c r="N847">
        <v>65000</v>
      </c>
      <c r="Q847" s="3">
        <v>57000</v>
      </c>
    </row>
    <row r="848" spans="13:17" x14ac:dyDescent="0.3">
      <c r="M848" t="s">
        <v>13</v>
      </c>
      <c r="N848">
        <v>65000</v>
      </c>
      <c r="Q848" s="4">
        <v>57000</v>
      </c>
    </row>
    <row r="849" spans="13:17" x14ac:dyDescent="0.3">
      <c r="M849" t="s">
        <v>13</v>
      </c>
      <c r="N849">
        <v>65000</v>
      </c>
      <c r="Q849" s="3">
        <v>57000</v>
      </c>
    </row>
    <row r="850" spans="13:17" x14ac:dyDescent="0.3">
      <c r="M850" t="s">
        <v>13</v>
      </c>
      <c r="N850">
        <v>65000</v>
      </c>
      <c r="Q850" s="4">
        <v>57000</v>
      </c>
    </row>
    <row r="851" spans="13:17" x14ac:dyDescent="0.3">
      <c r="M851" t="s">
        <v>13</v>
      </c>
      <c r="N851">
        <v>65000</v>
      </c>
      <c r="Q851" s="3">
        <v>57000</v>
      </c>
    </row>
    <row r="852" spans="13:17" x14ac:dyDescent="0.3">
      <c r="M852" t="s">
        <v>13</v>
      </c>
      <c r="N852">
        <v>65000</v>
      </c>
      <c r="Q852" s="4">
        <v>57000</v>
      </c>
    </row>
    <row r="853" spans="13:17" x14ac:dyDescent="0.3">
      <c r="M853" t="s">
        <v>13</v>
      </c>
      <c r="N853">
        <v>65000</v>
      </c>
      <c r="Q853" s="3">
        <v>57000</v>
      </c>
    </row>
    <row r="854" spans="13:17" x14ac:dyDescent="0.3">
      <c r="M854" t="s">
        <v>13</v>
      </c>
      <c r="N854">
        <v>65000</v>
      </c>
      <c r="Q854" s="4">
        <v>57000</v>
      </c>
    </row>
    <row r="855" spans="13:17" x14ac:dyDescent="0.3">
      <c r="M855" t="s">
        <v>13</v>
      </c>
      <c r="N855">
        <v>65000</v>
      </c>
      <c r="Q855" s="3">
        <v>57000</v>
      </c>
    </row>
    <row r="856" spans="13:17" x14ac:dyDescent="0.3">
      <c r="M856" t="s">
        <v>13</v>
      </c>
      <c r="N856">
        <v>65000</v>
      </c>
      <c r="Q856" s="4">
        <v>57000</v>
      </c>
    </row>
    <row r="857" spans="13:17" x14ac:dyDescent="0.3">
      <c r="M857" t="s">
        <v>13</v>
      </c>
      <c r="N857">
        <v>65000</v>
      </c>
      <c r="Q857" s="3">
        <v>57000</v>
      </c>
    </row>
    <row r="858" spans="13:17" x14ac:dyDescent="0.3">
      <c r="M858" t="s">
        <v>13</v>
      </c>
      <c r="N858">
        <v>65000</v>
      </c>
      <c r="Q858" s="4">
        <v>56700</v>
      </c>
    </row>
    <row r="859" spans="13:17" x14ac:dyDescent="0.3">
      <c r="M859" t="s">
        <v>13</v>
      </c>
      <c r="N859">
        <v>65000</v>
      </c>
      <c r="Q859" s="3">
        <v>56400</v>
      </c>
    </row>
    <row r="860" spans="13:17" x14ac:dyDescent="0.3">
      <c r="M860" t="s">
        <v>13</v>
      </c>
      <c r="N860">
        <v>65000</v>
      </c>
      <c r="Q860" s="4">
        <v>56000</v>
      </c>
    </row>
    <row r="861" spans="13:17" x14ac:dyDescent="0.3">
      <c r="M861" t="s">
        <v>13</v>
      </c>
      <c r="N861">
        <v>65000</v>
      </c>
      <c r="Q861" s="3">
        <v>56000</v>
      </c>
    </row>
    <row r="862" spans="13:17" x14ac:dyDescent="0.3">
      <c r="M862" t="s">
        <v>13</v>
      </c>
      <c r="N862">
        <v>65000</v>
      </c>
      <c r="Q862" s="4">
        <v>56000</v>
      </c>
    </row>
    <row r="863" spans="13:17" x14ac:dyDescent="0.3">
      <c r="M863" t="s">
        <v>13</v>
      </c>
      <c r="N863">
        <v>65000</v>
      </c>
      <c r="Q863" s="3">
        <v>56000</v>
      </c>
    </row>
    <row r="864" spans="13:17" x14ac:dyDescent="0.3">
      <c r="M864" t="s">
        <v>13</v>
      </c>
      <c r="N864">
        <v>65000</v>
      </c>
      <c r="Q864" s="4">
        <v>56000</v>
      </c>
    </row>
    <row r="865" spans="13:17" x14ac:dyDescent="0.3">
      <c r="M865" t="s">
        <v>13</v>
      </c>
      <c r="N865">
        <v>65000</v>
      </c>
      <c r="Q865" s="3">
        <v>56000</v>
      </c>
    </row>
    <row r="866" spans="13:17" x14ac:dyDescent="0.3">
      <c r="M866" t="s">
        <v>13</v>
      </c>
      <c r="N866">
        <v>65000</v>
      </c>
      <c r="Q866" s="4">
        <v>56000</v>
      </c>
    </row>
    <row r="867" spans="13:17" x14ac:dyDescent="0.3">
      <c r="M867" t="s">
        <v>13</v>
      </c>
      <c r="N867">
        <v>65000</v>
      </c>
      <c r="Q867" s="3">
        <v>56000</v>
      </c>
    </row>
    <row r="868" spans="13:17" x14ac:dyDescent="0.3">
      <c r="M868" t="s">
        <v>13</v>
      </c>
      <c r="N868">
        <v>65000</v>
      </c>
      <c r="Q868" s="4">
        <v>56000</v>
      </c>
    </row>
    <row r="869" spans="13:17" x14ac:dyDescent="0.3">
      <c r="M869" t="s">
        <v>13</v>
      </c>
      <c r="N869">
        <v>65000</v>
      </c>
      <c r="Q869" s="3">
        <v>56000</v>
      </c>
    </row>
    <row r="870" spans="13:17" x14ac:dyDescent="0.3">
      <c r="M870" t="s">
        <v>13</v>
      </c>
      <c r="N870">
        <v>65000</v>
      </c>
      <c r="Q870" s="4">
        <v>56000</v>
      </c>
    </row>
    <row r="871" spans="13:17" x14ac:dyDescent="0.3">
      <c r="M871" t="s">
        <v>13</v>
      </c>
      <c r="N871">
        <v>65000</v>
      </c>
      <c r="Q871" s="3">
        <v>55500</v>
      </c>
    </row>
    <row r="872" spans="13:17" x14ac:dyDescent="0.3">
      <c r="M872" t="s">
        <v>13</v>
      </c>
      <c r="N872">
        <v>65000</v>
      </c>
      <c r="Q872" s="4">
        <v>55200</v>
      </c>
    </row>
    <row r="873" spans="13:17" x14ac:dyDescent="0.3">
      <c r="M873" t="s">
        <v>13</v>
      </c>
      <c r="N873">
        <v>65000</v>
      </c>
      <c r="Q873" s="3">
        <v>55000</v>
      </c>
    </row>
    <row r="874" spans="13:17" x14ac:dyDescent="0.3">
      <c r="M874" t="s">
        <v>13</v>
      </c>
      <c r="N874">
        <v>65000</v>
      </c>
      <c r="Q874" s="4">
        <v>55000</v>
      </c>
    </row>
    <row r="875" spans="13:17" x14ac:dyDescent="0.3">
      <c r="M875" t="s">
        <v>13</v>
      </c>
      <c r="N875">
        <v>65000</v>
      </c>
      <c r="Q875" s="3">
        <v>55000</v>
      </c>
    </row>
    <row r="876" spans="13:17" x14ac:dyDescent="0.3">
      <c r="M876" t="s">
        <v>13</v>
      </c>
      <c r="N876">
        <v>65000</v>
      </c>
      <c r="Q876" s="4">
        <v>55000</v>
      </c>
    </row>
    <row r="877" spans="13:17" x14ac:dyDescent="0.3">
      <c r="M877" t="s">
        <v>13</v>
      </c>
      <c r="N877">
        <v>65000</v>
      </c>
      <c r="Q877" s="3">
        <v>55000</v>
      </c>
    </row>
    <row r="878" spans="13:17" x14ac:dyDescent="0.3">
      <c r="M878" t="s">
        <v>13</v>
      </c>
      <c r="N878">
        <v>65000</v>
      </c>
      <c r="Q878" s="4">
        <v>55000</v>
      </c>
    </row>
    <row r="879" spans="13:17" x14ac:dyDescent="0.3">
      <c r="M879" t="s">
        <v>13</v>
      </c>
      <c r="N879">
        <v>65000</v>
      </c>
      <c r="Q879" s="3">
        <v>55000</v>
      </c>
    </row>
    <row r="880" spans="13:17" x14ac:dyDescent="0.3">
      <c r="M880" t="s">
        <v>13</v>
      </c>
      <c r="N880">
        <v>65000</v>
      </c>
      <c r="Q880" s="4">
        <v>55000</v>
      </c>
    </row>
    <row r="881" spans="13:17" x14ac:dyDescent="0.3">
      <c r="M881" t="s">
        <v>13</v>
      </c>
      <c r="N881">
        <v>65000</v>
      </c>
      <c r="Q881" s="3">
        <v>55000</v>
      </c>
    </row>
    <row r="882" spans="13:17" x14ac:dyDescent="0.3">
      <c r="M882" t="s">
        <v>13</v>
      </c>
      <c r="N882">
        <v>65000</v>
      </c>
      <c r="Q882" s="4">
        <v>55000</v>
      </c>
    </row>
    <row r="883" spans="13:17" x14ac:dyDescent="0.3">
      <c r="M883" t="s">
        <v>13</v>
      </c>
      <c r="N883">
        <v>65000</v>
      </c>
      <c r="Q883" s="3">
        <v>55000</v>
      </c>
    </row>
    <row r="884" spans="13:17" x14ac:dyDescent="0.3">
      <c r="M884" t="s">
        <v>13</v>
      </c>
      <c r="N884">
        <v>65000</v>
      </c>
      <c r="Q884" s="4">
        <v>55000</v>
      </c>
    </row>
    <row r="885" spans="13:17" x14ac:dyDescent="0.3">
      <c r="M885" t="s">
        <v>13</v>
      </c>
      <c r="N885">
        <v>65000</v>
      </c>
      <c r="Q885" s="3">
        <v>55000</v>
      </c>
    </row>
    <row r="886" spans="13:17" x14ac:dyDescent="0.3">
      <c r="M886" t="s">
        <v>13</v>
      </c>
      <c r="N886">
        <v>65000</v>
      </c>
      <c r="Q886" s="4">
        <v>55000</v>
      </c>
    </row>
    <row r="887" spans="13:17" x14ac:dyDescent="0.3">
      <c r="M887" t="s">
        <v>13</v>
      </c>
      <c r="N887">
        <v>65000</v>
      </c>
      <c r="Q887" s="3">
        <v>55000</v>
      </c>
    </row>
    <row r="888" spans="13:17" x14ac:dyDescent="0.3">
      <c r="M888" t="s">
        <v>13</v>
      </c>
      <c r="N888">
        <v>65000</v>
      </c>
      <c r="Q888" s="4">
        <v>55000</v>
      </c>
    </row>
    <row r="889" spans="13:17" x14ac:dyDescent="0.3">
      <c r="M889" t="s">
        <v>13</v>
      </c>
      <c r="N889">
        <v>65000</v>
      </c>
      <c r="Q889" s="3">
        <v>55000</v>
      </c>
    </row>
    <row r="890" spans="13:17" x14ac:dyDescent="0.3">
      <c r="M890" t="s">
        <v>13</v>
      </c>
      <c r="N890">
        <v>65000</v>
      </c>
      <c r="Q890" s="4">
        <v>55000</v>
      </c>
    </row>
    <row r="891" spans="13:17" x14ac:dyDescent="0.3">
      <c r="M891" t="s">
        <v>13</v>
      </c>
      <c r="N891">
        <v>65000</v>
      </c>
      <c r="Q891" s="3">
        <v>55000</v>
      </c>
    </row>
    <row r="892" spans="13:17" x14ac:dyDescent="0.3">
      <c r="M892" t="s">
        <v>13</v>
      </c>
      <c r="N892">
        <v>65000</v>
      </c>
      <c r="Q892" s="4">
        <v>55000</v>
      </c>
    </row>
    <row r="893" spans="13:17" x14ac:dyDescent="0.3">
      <c r="M893" t="s">
        <v>13</v>
      </c>
      <c r="N893">
        <v>65000</v>
      </c>
      <c r="Q893" s="3">
        <v>55000</v>
      </c>
    </row>
    <row r="894" spans="13:17" x14ac:dyDescent="0.3">
      <c r="M894" t="s">
        <v>13</v>
      </c>
      <c r="N894">
        <v>65000</v>
      </c>
      <c r="Q894" s="4">
        <v>55000</v>
      </c>
    </row>
    <row r="895" spans="13:17" x14ac:dyDescent="0.3">
      <c r="M895" t="s">
        <v>13</v>
      </c>
      <c r="N895">
        <v>65000</v>
      </c>
      <c r="Q895" s="3">
        <v>55000</v>
      </c>
    </row>
    <row r="896" spans="13:17" x14ac:dyDescent="0.3">
      <c r="M896" t="s">
        <v>13</v>
      </c>
      <c r="N896">
        <v>65000</v>
      </c>
      <c r="Q896" s="4">
        <v>55000</v>
      </c>
    </row>
    <row r="897" spans="13:17" x14ac:dyDescent="0.3">
      <c r="M897" t="s">
        <v>13</v>
      </c>
      <c r="N897">
        <v>65000</v>
      </c>
      <c r="Q897" s="3">
        <v>55000</v>
      </c>
    </row>
    <row r="898" spans="13:17" x14ac:dyDescent="0.3">
      <c r="M898" t="s">
        <v>13</v>
      </c>
      <c r="N898">
        <v>65000</v>
      </c>
      <c r="Q898" s="4">
        <v>55000</v>
      </c>
    </row>
    <row r="899" spans="13:17" x14ac:dyDescent="0.3">
      <c r="M899" t="s">
        <v>13</v>
      </c>
      <c r="N899">
        <v>65000</v>
      </c>
      <c r="Q899" s="3">
        <v>55000</v>
      </c>
    </row>
    <row r="900" spans="13:17" x14ac:dyDescent="0.3">
      <c r="M900" t="s">
        <v>13</v>
      </c>
      <c r="N900">
        <v>65000</v>
      </c>
      <c r="Q900" s="4">
        <v>54500</v>
      </c>
    </row>
    <row r="901" spans="13:17" x14ac:dyDescent="0.3">
      <c r="M901" t="s">
        <v>13</v>
      </c>
      <c r="N901">
        <v>65000</v>
      </c>
      <c r="Q901" s="3">
        <v>54179.13</v>
      </c>
    </row>
    <row r="902" spans="13:17" x14ac:dyDescent="0.3">
      <c r="M902" t="s">
        <v>13</v>
      </c>
      <c r="N902">
        <v>65000</v>
      </c>
      <c r="Q902" s="4">
        <v>54000</v>
      </c>
    </row>
    <row r="903" spans="13:17" x14ac:dyDescent="0.3">
      <c r="M903" t="s">
        <v>13</v>
      </c>
      <c r="N903">
        <v>65000</v>
      </c>
      <c r="Q903" s="3">
        <v>54000</v>
      </c>
    </row>
    <row r="904" spans="13:17" x14ac:dyDescent="0.3">
      <c r="M904" t="s">
        <v>13</v>
      </c>
      <c r="N904">
        <v>65000</v>
      </c>
      <c r="Q904" s="4">
        <v>54000</v>
      </c>
    </row>
    <row r="905" spans="13:17" x14ac:dyDescent="0.3">
      <c r="M905" t="s">
        <v>13</v>
      </c>
      <c r="N905">
        <v>65000</v>
      </c>
      <c r="Q905" s="3">
        <v>54000</v>
      </c>
    </row>
    <row r="906" spans="13:17" x14ac:dyDescent="0.3">
      <c r="M906" t="s">
        <v>13</v>
      </c>
      <c r="N906">
        <v>65000</v>
      </c>
      <c r="Q906" s="4">
        <v>54000</v>
      </c>
    </row>
    <row r="907" spans="13:17" x14ac:dyDescent="0.3">
      <c r="M907" t="s">
        <v>13</v>
      </c>
      <c r="N907">
        <v>65000</v>
      </c>
      <c r="Q907" s="3">
        <v>54000</v>
      </c>
    </row>
    <row r="908" spans="13:17" x14ac:dyDescent="0.3">
      <c r="M908" t="s">
        <v>13</v>
      </c>
      <c r="N908">
        <v>64800</v>
      </c>
      <c r="Q908" s="4">
        <v>54000</v>
      </c>
    </row>
    <row r="909" spans="13:17" x14ac:dyDescent="0.3">
      <c r="M909" t="s">
        <v>13</v>
      </c>
      <c r="N909">
        <v>64000</v>
      </c>
      <c r="Q909" s="3">
        <v>54000</v>
      </c>
    </row>
    <row r="910" spans="13:17" x14ac:dyDescent="0.3">
      <c r="M910" t="s">
        <v>13</v>
      </c>
      <c r="N910">
        <v>64000</v>
      </c>
      <c r="Q910" s="4">
        <v>54000</v>
      </c>
    </row>
    <row r="911" spans="13:17" x14ac:dyDescent="0.3">
      <c r="M911" t="s">
        <v>13</v>
      </c>
      <c r="N911">
        <v>64000</v>
      </c>
      <c r="Q911" s="3">
        <v>54000</v>
      </c>
    </row>
    <row r="912" spans="13:17" x14ac:dyDescent="0.3">
      <c r="M912" t="s">
        <v>13</v>
      </c>
      <c r="N912">
        <v>64000</v>
      </c>
      <c r="Q912" s="4">
        <v>54000</v>
      </c>
    </row>
    <row r="913" spans="13:17" x14ac:dyDescent="0.3">
      <c r="M913" t="s">
        <v>13</v>
      </c>
      <c r="N913">
        <v>64000</v>
      </c>
      <c r="Q913" s="3">
        <v>53500</v>
      </c>
    </row>
    <row r="914" spans="13:17" x14ac:dyDescent="0.3">
      <c r="M914" t="s">
        <v>13</v>
      </c>
      <c r="N914">
        <v>64000</v>
      </c>
      <c r="Q914" s="4">
        <v>53000</v>
      </c>
    </row>
    <row r="915" spans="13:17" x14ac:dyDescent="0.3">
      <c r="M915" t="s">
        <v>13</v>
      </c>
      <c r="N915">
        <v>64000</v>
      </c>
      <c r="Q915" s="3">
        <v>53000</v>
      </c>
    </row>
    <row r="916" spans="13:17" x14ac:dyDescent="0.3">
      <c r="M916" t="s">
        <v>13</v>
      </c>
      <c r="N916">
        <v>64000</v>
      </c>
      <c r="Q916" s="4">
        <v>53000</v>
      </c>
    </row>
    <row r="917" spans="13:17" x14ac:dyDescent="0.3">
      <c r="M917" t="s">
        <v>13</v>
      </c>
      <c r="N917">
        <v>63700</v>
      </c>
      <c r="Q917" s="3">
        <v>53000</v>
      </c>
    </row>
    <row r="918" spans="13:17" x14ac:dyDescent="0.3">
      <c r="M918" t="s">
        <v>13</v>
      </c>
      <c r="N918">
        <v>63500</v>
      </c>
      <c r="Q918" s="4">
        <v>52800</v>
      </c>
    </row>
    <row r="919" spans="13:17" x14ac:dyDescent="0.3">
      <c r="M919" t="s">
        <v>13</v>
      </c>
      <c r="N919">
        <v>63000</v>
      </c>
      <c r="Q919" s="3">
        <v>52500</v>
      </c>
    </row>
    <row r="920" spans="13:17" x14ac:dyDescent="0.3">
      <c r="M920" t="s">
        <v>13</v>
      </c>
      <c r="N920">
        <v>63000</v>
      </c>
      <c r="Q920" s="4">
        <v>52500</v>
      </c>
    </row>
    <row r="921" spans="13:17" x14ac:dyDescent="0.3">
      <c r="M921" t="s">
        <v>13</v>
      </c>
      <c r="N921">
        <v>63000</v>
      </c>
      <c r="Q921" s="3">
        <v>52000</v>
      </c>
    </row>
    <row r="922" spans="13:17" x14ac:dyDescent="0.3">
      <c r="M922" t="s">
        <v>13</v>
      </c>
      <c r="N922">
        <v>63000</v>
      </c>
      <c r="Q922" s="4">
        <v>52000</v>
      </c>
    </row>
    <row r="923" spans="13:17" x14ac:dyDescent="0.3">
      <c r="M923" t="s">
        <v>13</v>
      </c>
      <c r="N923">
        <v>63000</v>
      </c>
      <c r="Q923" s="3">
        <v>51000</v>
      </c>
    </row>
    <row r="924" spans="13:17" x14ac:dyDescent="0.3">
      <c r="M924" t="s">
        <v>13</v>
      </c>
      <c r="N924">
        <v>63000</v>
      </c>
      <c r="Q924" s="4">
        <v>51000</v>
      </c>
    </row>
    <row r="925" spans="13:17" x14ac:dyDescent="0.3">
      <c r="M925" t="s">
        <v>13</v>
      </c>
      <c r="N925">
        <v>63000</v>
      </c>
      <c r="Q925" s="3">
        <v>51000</v>
      </c>
    </row>
    <row r="926" spans="13:17" x14ac:dyDescent="0.3">
      <c r="M926" t="s">
        <v>13</v>
      </c>
      <c r="N926">
        <v>63000</v>
      </c>
      <c r="Q926" s="4">
        <v>51000</v>
      </c>
    </row>
    <row r="927" spans="13:17" x14ac:dyDescent="0.3">
      <c r="M927" t="s">
        <v>13</v>
      </c>
      <c r="N927">
        <v>63000</v>
      </c>
      <c r="Q927" s="3">
        <v>51000</v>
      </c>
    </row>
    <row r="928" spans="13:17" x14ac:dyDescent="0.3">
      <c r="M928" t="s">
        <v>13</v>
      </c>
      <c r="N928">
        <v>63000</v>
      </c>
      <c r="Q928" s="4">
        <v>50400</v>
      </c>
    </row>
    <row r="929" spans="13:17" x14ac:dyDescent="0.3">
      <c r="M929" t="s">
        <v>13</v>
      </c>
      <c r="N929">
        <v>63000</v>
      </c>
      <c r="Q929" s="3">
        <v>50400</v>
      </c>
    </row>
    <row r="930" spans="13:17" x14ac:dyDescent="0.3">
      <c r="M930" t="s">
        <v>13</v>
      </c>
      <c r="N930">
        <v>63000</v>
      </c>
      <c r="Q930" s="4">
        <v>50000</v>
      </c>
    </row>
    <row r="931" spans="13:17" x14ac:dyDescent="0.3">
      <c r="M931" t="s">
        <v>13</v>
      </c>
      <c r="N931">
        <v>62500</v>
      </c>
      <c r="Q931" s="3">
        <v>50000</v>
      </c>
    </row>
    <row r="932" spans="13:17" x14ac:dyDescent="0.3">
      <c r="M932" t="s">
        <v>13</v>
      </c>
      <c r="N932">
        <v>62400</v>
      </c>
      <c r="Q932" s="4">
        <v>50000</v>
      </c>
    </row>
    <row r="933" spans="13:17" x14ac:dyDescent="0.3">
      <c r="M933" t="s">
        <v>13</v>
      </c>
      <c r="N933">
        <v>62000</v>
      </c>
      <c r="Q933" s="3">
        <v>50000</v>
      </c>
    </row>
    <row r="934" spans="13:17" x14ac:dyDescent="0.3">
      <c r="M934" t="s">
        <v>13</v>
      </c>
      <c r="N934">
        <v>62000</v>
      </c>
      <c r="Q934" s="4">
        <v>50000</v>
      </c>
    </row>
    <row r="935" spans="13:17" x14ac:dyDescent="0.3">
      <c r="M935" t="s">
        <v>13</v>
      </c>
      <c r="N935">
        <v>62000</v>
      </c>
      <c r="Q935" s="3">
        <v>50000</v>
      </c>
    </row>
    <row r="936" spans="13:17" x14ac:dyDescent="0.3">
      <c r="M936" t="s">
        <v>13</v>
      </c>
      <c r="N936">
        <v>62000</v>
      </c>
      <c r="Q936" s="4">
        <v>50000</v>
      </c>
    </row>
    <row r="937" spans="13:17" x14ac:dyDescent="0.3">
      <c r="M937" t="s">
        <v>13</v>
      </c>
      <c r="N937">
        <v>62000</v>
      </c>
      <c r="Q937" s="3">
        <v>50000</v>
      </c>
    </row>
    <row r="938" spans="13:17" x14ac:dyDescent="0.3">
      <c r="M938" t="s">
        <v>13</v>
      </c>
      <c r="N938">
        <v>62000</v>
      </c>
      <c r="Q938" s="4">
        <v>50000</v>
      </c>
    </row>
    <row r="939" spans="13:17" x14ac:dyDescent="0.3">
      <c r="M939" t="s">
        <v>13</v>
      </c>
      <c r="N939">
        <v>62000</v>
      </c>
      <c r="Q939" s="3">
        <v>50000</v>
      </c>
    </row>
    <row r="940" spans="13:17" x14ac:dyDescent="0.3">
      <c r="M940" t="s">
        <v>13</v>
      </c>
      <c r="N940">
        <v>62000</v>
      </c>
      <c r="Q940" s="4">
        <v>50000</v>
      </c>
    </row>
    <row r="941" spans="13:17" x14ac:dyDescent="0.3">
      <c r="M941" t="s">
        <v>13</v>
      </c>
      <c r="N941">
        <v>62000</v>
      </c>
      <c r="Q941" s="3">
        <v>50000</v>
      </c>
    </row>
    <row r="942" spans="13:17" x14ac:dyDescent="0.3">
      <c r="M942" t="s">
        <v>13</v>
      </c>
      <c r="N942">
        <v>62000</v>
      </c>
      <c r="Q942" s="4">
        <v>50000</v>
      </c>
    </row>
    <row r="943" spans="13:17" x14ac:dyDescent="0.3">
      <c r="M943" t="s">
        <v>13</v>
      </c>
      <c r="N943">
        <v>62000</v>
      </c>
      <c r="Q943" s="3">
        <v>50000</v>
      </c>
    </row>
    <row r="944" spans="13:17" x14ac:dyDescent="0.3">
      <c r="M944" t="s">
        <v>13</v>
      </c>
      <c r="N944">
        <v>62000</v>
      </c>
      <c r="Q944" s="4">
        <v>50000</v>
      </c>
    </row>
    <row r="945" spans="13:17" x14ac:dyDescent="0.3">
      <c r="M945" t="s">
        <v>13</v>
      </c>
      <c r="N945">
        <v>62000</v>
      </c>
      <c r="Q945" s="3">
        <v>50000</v>
      </c>
    </row>
    <row r="946" spans="13:17" x14ac:dyDescent="0.3">
      <c r="M946" t="s">
        <v>13</v>
      </c>
      <c r="N946">
        <v>62000</v>
      </c>
      <c r="Q946" s="4">
        <v>50000</v>
      </c>
    </row>
    <row r="947" spans="13:17" x14ac:dyDescent="0.3">
      <c r="M947" t="s">
        <v>13</v>
      </c>
      <c r="N947">
        <v>62000</v>
      </c>
      <c r="Q947" s="3">
        <v>50000</v>
      </c>
    </row>
    <row r="948" spans="13:17" x14ac:dyDescent="0.3">
      <c r="M948" t="s">
        <v>13</v>
      </c>
      <c r="N948">
        <v>62000</v>
      </c>
      <c r="Q948" s="4">
        <v>49200</v>
      </c>
    </row>
    <row r="949" spans="13:17" x14ac:dyDescent="0.3">
      <c r="M949" t="s">
        <v>13</v>
      </c>
      <c r="N949">
        <v>62000</v>
      </c>
      <c r="Q949" s="3">
        <v>49000</v>
      </c>
    </row>
    <row r="950" spans="13:17" x14ac:dyDescent="0.3">
      <c r="M950" t="s">
        <v>13</v>
      </c>
      <c r="N950">
        <v>62000</v>
      </c>
      <c r="Q950" s="4">
        <v>49000</v>
      </c>
    </row>
    <row r="951" spans="13:17" x14ac:dyDescent="0.3">
      <c r="M951" t="s">
        <v>13</v>
      </c>
      <c r="N951">
        <v>62000</v>
      </c>
      <c r="Q951" s="3">
        <v>49000</v>
      </c>
    </row>
    <row r="952" spans="13:17" x14ac:dyDescent="0.3">
      <c r="M952" t="s">
        <v>13</v>
      </c>
      <c r="N952">
        <v>61500</v>
      </c>
      <c r="Q952" s="4">
        <v>49000</v>
      </c>
    </row>
    <row r="953" spans="13:17" x14ac:dyDescent="0.3">
      <c r="M953" t="s">
        <v>13</v>
      </c>
      <c r="N953">
        <v>61500</v>
      </c>
      <c r="Q953" s="3">
        <v>49000</v>
      </c>
    </row>
    <row r="954" spans="13:17" x14ac:dyDescent="0.3">
      <c r="M954" t="s">
        <v>13</v>
      </c>
      <c r="N954">
        <v>61200</v>
      </c>
      <c r="Q954" s="4">
        <v>48000</v>
      </c>
    </row>
    <row r="955" spans="13:17" x14ac:dyDescent="0.3">
      <c r="M955" t="s">
        <v>13</v>
      </c>
      <c r="N955">
        <v>61000</v>
      </c>
      <c r="Q955" s="3">
        <v>48000</v>
      </c>
    </row>
    <row r="956" spans="13:17" x14ac:dyDescent="0.3">
      <c r="M956" t="s">
        <v>13</v>
      </c>
      <c r="N956">
        <v>61000</v>
      </c>
      <c r="Q956" s="4">
        <v>48000</v>
      </c>
    </row>
    <row r="957" spans="13:17" x14ac:dyDescent="0.3">
      <c r="M957" t="s">
        <v>13</v>
      </c>
      <c r="N957">
        <v>60350</v>
      </c>
      <c r="Q957" s="3">
        <v>48000</v>
      </c>
    </row>
    <row r="958" spans="13:17" x14ac:dyDescent="0.3">
      <c r="M958" t="s">
        <v>13</v>
      </c>
      <c r="N958">
        <v>60000</v>
      </c>
      <c r="Q958" s="4">
        <v>48000</v>
      </c>
    </row>
    <row r="959" spans="13:17" x14ac:dyDescent="0.3">
      <c r="M959" t="s">
        <v>13</v>
      </c>
      <c r="N959">
        <v>60000</v>
      </c>
      <c r="Q959" s="3">
        <v>48000</v>
      </c>
    </row>
    <row r="960" spans="13:17" x14ac:dyDescent="0.3">
      <c r="M960" t="s">
        <v>13</v>
      </c>
      <c r="N960">
        <v>60000</v>
      </c>
      <c r="Q960" s="4">
        <v>48000</v>
      </c>
    </row>
    <row r="961" spans="13:17" x14ac:dyDescent="0.3">
      <c r="M961" t="s">
        <v>13</v>
      </c>
      <c r="N961">
        <v>60000</v>
      </c>
      <c r="Q961" s="3">
        <v>48000</v>
      </c>
    </row>
    <row r="962" spans="13:17" x14ac:dyDescent="0.3">
      <c r="M962" t="s">
        <v>13</v>
      </c>
      <c r="N962">
        <v>60000</v>
      </c>
      <c r="Q962" s="4">
        <v>48000</v>
      </c>
    </row>
    <row r="963" spans="13:17" x14ac:dyDescent="0.3">
      <c r="M963" t="s">
        <v>13</v>
      </c>
      <c r="N963">
        <v>60000</v>
      </c>
      <c r="Q963" s="3">
        <v>48000</v>
      </c>
    </row>
    <row r="964" spans="13:17" x14ac:dyDescent="0.3">
      <c r="M964" t="s">
        <v>13</v>
      </c>
      <c r="N964">
        <v>60000</v>
      </c>
      <c r="Q964" s="4">
        <v>48000</v>
      </c>
    </row>
    <row r="965" spans="13:17" x14ac:dyDescent="0.3">
      <c r="M965" t="s">
        <v>13</v>
      </c>
      <c r="N965">
        <v>60000</v>
      </c>
      <c r="Q965" s="3">
        <v>48000</v>
      </c>
    </row>
    <row r="966" spans="13:17" x14ac:dyDescent="0.3">
      <c r="M966" t="s">
        <v>13</v>
      </c>
      <c r="N966">
        <v>60000</v>
      </c>
      <c r="Q966" s="4">
        <v>48000</v>
      </c>
    </row>
    <row r="967" spans="13:17" x14ac:dyDescent="0.3">
      <c r="M967" t="s">
        <v>13</v>
      </c>
      <c r="N967">
        <v>60000</v>
      </c>
      <c r="Q967" s="3">
        <v>48000</v>
      </c>
    </row>
    <row r="968" spans="13:17" x14ac:dyDescent="0.3">
      <c r="M968" t="s">
        <v>13</v>
      </c>
      <c r="N968">
        <v>60000</v>
      </c>
      <c r="Q968" s="4">
        <v>47400</v>
      </c>
    </row>
    <row r="969" spans="13:17" x14ac:dyDescent="0.3">
      <c r="M969" t="s">
        <v>13</v>
      </c>
      <c r="N969">
        <v>60000</v>
      </c>
      <c r="Q969" s="3">
        <v>47000</v>
      </c>
    </row>
    <row r="970" spans="13:17" x14ac:dyDescent="0.3">
      <c r="M970" t="s">
        <v>13</v>
      </c>
      <c r="N970">
        <v>60000</v>
      </c>
      <c r="Q970" s="4">
        <v>46000</v>
      </c>
    </row>
    <row r="971" spans="13:17" x14ac:dyDescent="0.3">
      <c r="M971" t="s">
        <v>13</v>
      </c>
      <c r="N971">
        <v>60000</v>
      </c>
      <c r="Q971" s="3">
        <v>46000</v>
      </c>
    </row>
    <row r="972" spans="13:17" x14ac:dyDescent="0.3">
      <c r="M972" t="s">
        <v>13</v>
      </c>
      <c r="N972">
        <v>60000</v>
      </c>
      <c r="Q972" s="4">
        <v>46000</v>
      </c>
    </row>
    <row r="973" spans="13:17" x14ac:dyDescent="0.3">
      <c r="M973" t="s">
        <v>13</v>
      </c>
      <c r="N973">
        <v>60000</v>
      </c>
      <c r="Q973" s="3">
        <v>45600</v>
      </c>
    </row>
    <row r="974" spans="13:17" x14ac:dyDescent="0.3">
      <c r="M974" t="s">
        <v>13</v>
      </c>
      <c r="N974">
        <v>60000</v>
      </c>
      <c r="Q974" s="4">
        <v>45500</v>
      </c>
    </row>
    <row r="975" spans="13:17" x14ac:dyDescent="0.3">
      <c r="M975" t="s">
        <v>13</v>
      </c>
      <c r="N975">
        <v>60000</v>
      </c>
      <c r="Q975" s="3">
        <v>45000</v>
      </c>
    </row>
    <row r="976" spans="13:17" x14ac:dyDescent="0.3">
      <c r="M976" t="s">
        <v>13</v>
      </c>
      <c r="N976">
        <v>60000</v>
      </c>
      <c r="Q976" s="4">
        <v>45000</v>
      </c>
    </row>
    <row r="977" spans="13:17" x14ac:dyDescent="0.3">
      <c r="M977" t="s">
        <v>13</v>
      </c>
      <c r="N977">
        <v>60000</v>
      </c>
      <c r="Q977" s="3">
        <v>45000</v>
      </c>
    </row>
    <row r="978" spans="13:17" x14ac:dyDescent="0.3">
      <c r="M978" t="s">
        <v>13</v>
      </c>
      <c r="N978">
        <v>60000</v>
      </c>
      <c r="Q978" s="4">
        <v>45000</v>
      </c>
    </row>
    <row r="979" spans="13:17" x14ac:dyDescent="0.3">
      <c r="M979" t="s">
        <v>13</v>
      </c>
      <c r="N979">
        <v>60000</v>
      </c>
      <c r="Q979" s="3">
        <v>45000</v>
      </c>
    </row>
    <row r="980" spans="13:17" x14ac:dyDescent="0.3">
      <c r="M980" t="s">
        <v>13</v>
      </c>
      <c r="N980">
        <v>60000</v>
      </c>
      <c r="Q980" s="4">
        <v>45000</v>
      </c>
    </row>
    <row r="981" spans="13:17" x14ac:dyDescent="0.3">
      <c r="M981" t="s">
        <v>13</v>
      </c>
      <c r="N981">
        <v>60000</v>
      </c>
      <c r="Q981" s="3">
        <v>45000</v>
      </c>
    </row>
    <row r="982" spans="13:17" x14ac:dyDescent="0.3">
      <c r="M982" t="s">
        <v>13</v>
      </c>
      <c r="N982">
        <v>60000</v>
      </c>
      <c r="Q982" s="4">
        <v>45000</v>
      </c>
    </row>
    <row r="983" spans="13:17" x14ac:dyDescent="0.3">
      <c r="M983" t="s">
        <v>13</v>
      </c>
      <c r="N983">
        <v>60000</v>
      </c>
      <c r="Q983" s="3">
        <v>45000</v>
      </c>
    </row>
    <row r="984" spans="13:17" x14ac:dyDescent="0.3">
      <c r="M984" t="s">
        <v>13</v>
      </c>
      <c r="N984">
        <v>60000</v>
      </c>
      <c r="Q984" s="4">
        <v>44000</v>
      </c>
    </row>
    <row r="985" spans="13:17" x14ac:dyDescent="0.3">
      <c r="M985" t="s">
        <v>13</v>
      </c>
      <c r="N985">
        <v>60000</v>
      </c>
      <c r="Q985" s="3">
        <v>44000</v>
      </c>
    </row>
    <row r="986" spans="13:17" x14ac:dyDescent="0.3">
      <c r="M986" t="s">
        <v>13</v>
      </c>
      <c r="N986">
        <v>60000</v>
      </c>
      <c r="Q986" s="4">
        <v>44000</v>
      </c>
    </row>
    <row r="987" spans="13:17" x14ac:dyDescent="0.3">
      <c r="M987" t="s">
        <v>13</v>
      </c>
      <c r="N987">
        <v>60000</v>
      </c>
      <c r="Q987" s="3">
        <v>44000</v>
      </c>
    </row>
    <row r="988" spans="13:17" x14ac:dyDescent="0.3">
      <c r="M988" t="s">
        <v>13</v>
      </c>
      <c r="N988">
        <v>60000</v>
      </c>
      <c r="Q988" s="4">
        <v>44000</v>
      </c>
    </row>
    <row r="989" spans="13:17" x14ac:dyDescent="0.3">
      <c r="M989" t="s">
        <v>13</v>
      </c>
      <c r="N989">
        <v>60000</v>
      </c>
      <c r="Q989" s="3">
        <v>43500</v>
      </c>
    </row>
    <row r="990" spans="13:17" x14ac:dyDescent="0.3">
      <c r="M990" t="s">
        <v>13</v>
      </c>
      <c r="N990">
        <v>60000</v>
      </c>
      <c r="Q990" s="4">
        <v>43000</v>
      </c>
    </row>
    <row r="991" spans="13:17" x14ac:dyDescent="0.3">
      <c r="M991" t="s">
        <v>13</v>
      </c>
      <c r="N991">
        <v>60000</v>
      </c>
      <c r="Q991" s="3">
        <v>43000</v>
      </c>
    </row>
    <row r="992" spans="13:17" x14ac:dyDescent="0.3">
      <c r="M992" t="s">
        <v>13</v>
      </c>
      <c r="N992">
        <v>60000</v>
      </c>
      <c r="Q992" s="4">
        <v>43000</v>
      </c>
    </row>
    <row r="993" spans="13:17" x14ac:dyDescent="0.3">
      <c r="M993" t="s">
        <v>13</v>
      </c>
      <c r="N993">
        <v>60000</v>
      </c>
      <c r="Q993" s="3">
        <v>42000</v>
      </c>
    </row>
    <row r="994" spans="13:17" x14ac:dyDescent="0.3">
      <c r="M994" t="s">
        <v>13</v>
      </c>
      <c r="N994">
        <v>60000</v>
      </c>
      <c r="Q994" s="4">
        <v>42000</v>
      </c>
    </row>
    <row r="995" spans="13:17" x14ac:dyDescent="0.3">
      <c r="M995" t="s">
        <v>13</v>
      </c>
      <c r="N995">
        <v>60000</v>
      </c>
      <c r="Q995" s="3">
        <v>42000</v>
      </c>
    </row>
    <row r="996" spans="13:17" x14ac:dyDescent="0.3">
      <c r="M996" t="s">
        <v>13</v>
      </c>
      <c r="N996">
        <v>60000</v>
      </c>
      <c r="Q996" s="4">
        <v>42000</v>
      </c>
    </row>
    <row r="997" spans="13:17" x14ac:dyDescent="0.3">
      <c r="M997" t="s">
        <v>13</v>
      </c>
      <c r="N997">
        <v>60000</v>
      </c>
      <c r="Q997" s="3">
        <v>42000</v>
      </c>
    </row>
    <row r="998" spans="13:17" x14ac:dyDescent="0.3">
      <c r="M998" t="s">
        <v>13</v>
      </c>
      <c r="N998">
        <v>60000</v>
      </c>
      <c r="Q998" s="4">
        <v>42000</v>
      </c>
    </row>
    <row r="999" spans="13:17" x14ac:dyDescent="0.3">
      <c r="M999" t="s">
        <v>13</v>
      </c>
      <c r="N999">
        <v>60000</v>
      </c>
      <c r="Q999" s="3">
        <v>42000</v>
      </c>
    </row>
    <row r="1000" spans="13:17" x14ac:dyDescent="0.3">
      <c r="M1000" t="s">
        <v>13</v>
      </c>
      <c r="N1000">
        <v>60000</v>
      </c>
      <c r="Q1000" s="4">
        <v>40800</v>
      </c>
    </row>
    <row r="1001" spans="13:17" x14ac:dyDescent="0.3">
      <c r="M1001" t="s">
        <v>13</v>
      </c>
      <c r="N1001">
        <v>60000</v>
      </c>
      <c r="Q1001" s="3">
        <v>40700</v>
      </c>
    </row>
    <row r="1002" spans="13:17" x14ac:dyDescent="0.3">
      <c r="M1002" t="s">
        <v>13</v>
      </c>
      <c r="N1002">
        <v>60000</v>
      </c>
      <c r="Q1002" s="4">
        <v>40000</v>
      </c>
    </row>
    <row r="1003" spans="13:17" x14ac:dyDescent="0.3">
      <c r="M1003" t="s">
        <v>13</v>
      </c>
      <c r="N1003">
        <v>60000</v>
      </c>
      <c r="Q1003" s="3">
        <v>40000</v>
      </c>
    </row>
    <row r="1004" spans="13:17" x14ac:dyDescent="0.3">
      <c r="M1004" t="s">
        <v>13</v>
      </c>
      <c r="N1004">
        <v>60000</v>
      </c>
      <c r="Q1004" s="4">
        <v>40000</v>
      </c>
    </row>
    <row r="1005" spans="13:17" x14ac:dyDescent="0.3">
      <c r="M1005" t="s">
        <v>13</v>
      </c>
      <c r="N1005">
        <v>60000</v>
      </c>
      <c r="Q1005" s="3">
        <v>38350</v>
      </c>
    </row>
    <row r="1006" spans="13:17" x14ac:dyDescent="0.3">
      <c r="M1006" t="s">
        <v>13</v>
      </c>
      <c r="N1006">
        <v>60000</v>
      </c>
      <c r="Q1006" s="4">
        <v>38000</v>
      </c>
    </row>
    <row r="1007" spans="13:17" x14ac:dyDescent="0.3">
      <c r="M1007" t="s">
        <v>13</v>
      </c>
      <c r="N1007">
        <v>60000</v>
      </c>
      <c r="Q1007" s="3">
        <v>37500</v>
      </c>
    </row>
    <row r="1008" spans="13:17" x14ac:dyDescent="0.3">
      <c r="M1008" t="s">
        <v>13</v>
      </c>
      <c r="N1008">
        <v>60000</v>
      </c>
      <c r="Q1008" s="4">
        <v>37500</v>
      </c>
    </row>
    <row r="1009" spans="13:17" x14ac:dyDescent="0.3">
      <c r="M1009" t="s">
        <v>13</v>
      </c>
      <c r="N1009">
        <v>60000</v>
      </c>
      <c r="Q1009" s="3">
        <v>37500</v>
      </c>
    </row>
    <row r="1010" spans="13:17" x14ac:dyDescent="0.3">
      <c r="M1010" t="s">
        <v>13</v>
      </c>
      <c r="N1010">
        <v>60000</v>
      </c>
      <c r="Q1010" s="4">
        <v>37000</v>
      </c>
    </row>
    <row r="1011" spans="13:17" x14ac:dyDescent="0.3">
      <c r="M1011" t="s">
        <v>13</v>
      </c>
      <c r="N1011">
        <v>60000</v>
      </c>
      <c r="Q1011" s="3">
        <v>36000</v>
      </c>
    </row>
    <row r="1012" spans="13:17" x14ac:dyDescent="0.3">
      <c r="M1012" t="s">
        <v>13</v>
      </c>
      <c r="N1012">
        <v>60000</v>
      </c>
      <c r="Q1012" s="4">
        <v>36000</v>
      </c>
    </row>
    <row r="1013" spans="13:17" x14ac:dyDescent="0.3">
      <c r="M1013" t="s">
        <v>13</v>
      </c>
      <c r="N1013">
        <v>60000</v>
      </c>
      <c r="Q1013" s="3">
        <v>36000</v>
      </c>
    </row>
    <row r="1014" spans="13:17" x14ac:dyDescent="0.3">
      <c r="M1014" t="s">
        <v>13</v>
      </c>
      <c r="N1014">
        <v>60000</v>
      </c>
      <c r="Q1014" s="4">
        <v>36000</v>
      </c>
    </row>
    <row r="1015" spans="13:17" x14ac:dyDescent="0.3">
      <c r="M1015" t="s">
        <v>13</v>
      </c>
      <c r="N1015">
        <v>60000</v>
      </c>
      <c r="Q1015" s="3">
        <v>35000</v>
      </c>
    </row>
    <row r="1016" spans="13:17" x14ac:dyDescent="0.3">
      <c r="M1016" t="s">
        <v>13</v>
      </c>
      <c r="N1016">
        <v>59064</v>
      </c>
      <c r="Q1016" s="4">
        <v>35000</v>
      </c>
    </row>
    <row r="1017" spans="13:17" x14ac:dyDescent="0.3">
      <c r="M1017" t="s">
        <v>13</v>
      </c>
      <c r="N1017">
        <v>59000</v>
      </c>
      <c r="Q1017" s="3">
        <v>35000</v>
      </c>
    </row>
    <row r="1018" spans="13:17" x14ac:dyDescent="0.3">
      <c r="M1018" t="s">
        <v>13</v>
      </c>
      <c r="N1018">
        <v>59000</v>
      </c>
      <c r="Q1018" s="4">
        <v>34000</v>
      </c>
    </row>
    <row r="1019" spans="13:17" x14ac:dyDescent="0.3">
      <c r="M1019" t="s">
        <v>13</v>
      </c>
      <c r="N1019">
        <v>59000</v>
      </c>
      <c r="Q1019" s="3">
        <v>32000</v>
      </c>
    </row>
    <row r="1020" spans="13:17" x14ac:dyDescent="0.3">
      <c r="M1020" t="s">
        <v>13</v>
      </c>
      <c r="N1020">
        <v>58800</v>
      </c>
      <c r="Q1020" s="4">
        <v>30000</v>
      </c>
    </row>
    <row r="1021" spans="13:17" x14ac:dyDescent="0.3">
      <c r="M1021" t="s">
        <v>13</v>
      </c>
      <c r="N1021">
        <v>58000</v>
      </c>
      <c r="Q1021" s="3">
        <v>30000</v>
      </c>
    </row>
    <row r="1022" spans="13:17" x14ac:dyDescent="0.3">
      <c r="M1022" t="s">
        <v>13</v>
      </c>
      <c r="N1022">
        <v>58000</v>
      </c>
      <c r="Q1022" s="4">
        <v>30000</v>
      </c>
    </row>
    <row r="1023" spans="13:17" x14ac:dyDescent="0.3">
      <c r="M1023" t="s">
        <v>13</v>
      </c>
      <c r="N1023">
        <v>58000</v>
      </c>
      <c r="Q1023" s="3">
        <v>30000</v>
      </c>
    </row>
    <row r="1024" spans="13:17" x14ac:dyDescent="0.3">
      <c r="M1024" t="s">
        <v>13</v>
      </c>
      <c r="N1024">
        <v>58000</v>
      </c>
      <c r="Q1024" s="4">
        <v>30000</v>
      </c>
    </row>
    <row r="1025" spans="13:17" x14ac:dyDescent="0.3">
      <c r="M1025" t="s">
        <v>13</v>
      </c>
      <c r="N1025">
        <v>58000</v>
      </c>
      <c r="Q1025" s="3">
        <v>30000</v>
      </c>
    </row>
    <row r="1026" spans="13:17" x14ac:dyDescent="0.3">
      <c r="M1026" t="s">
        <v>13</v>
      </c>
      <c r="N1026">
        <v>58000</v>
      </c>
      <c r="Q1026" s="4">
        <v>30000</v>
      </c>
    </row>
    <row r="1027" spans="13:17" x14ac:dyDescent="0.3">
      <c r="M1027" t="s">
        <v>13</v>
      </c>
      <c r="N1027">
        <v>58000</v>
      </c>
      <c r="Q1027" s="3">
        <v>28800</v>
      </c>
    </row>
    <row r="1028" spans="13:17" x14ac:dyDescent="0.3">
      <c r="M1028" t="s">
        <v>13</v>
      </c>
      <c r="N1028">
        <v>58000</v>
      </c>
      <c r="Q1028" s="4">
        <v>28000</v>
      </c>
    </row>
    <row r="1029" spans="13:17" x14ac:dyDescent="0.3">
      <c r="M1029" t="s">
        <v>13</v>
      </c>
      <c r="N1029">
        <v>58000</v>
      </c>
      <c r="Q1029" s="3">
        <v>27000</v>
      </c>
    </row>
    <row r="1030" spans="13:17" x14ac:dyDescent="0.3">
      <c r="M1030" t="s">
        <v>13</v>
      </c>
      <c r="N1030">
        <v>58000</v>
      </c>
      <c r="Q1030" s="4">
        <v>27000</v>
      </c>
    </row>
    <row r="1031" spans="13:17" x14ac:dyDescent="0.3">
      <c r="M1031" t="s">
        <v>13</v>
      </c>
      <c r="N1031">
        <v>58000</v>
      </c>
      <c r="Q1031" s="3">
        <v>26400</v>
      </c>
    </row>
    <row r="1032" spans="13:17" x14ac:dyDescent="0.3">
      <c r="M1032" t="s">
        <v>13</v>
      </c>
      <c r="N1032">
        <v>57750</v>
      </c>
      <c r="Q1032" s="4">
        <v>25300</v>
      </c>
    </row>
    <row r="1033" spans="13:17" x14ac:dyDescent="0.3">
      <c r="M1033" t="s">
        <v>13</v>
      </c>
      <c r="N1033">
        <v>57600</v>
      </c>
      <c r="Q1033" s="3">
        <v>25000</v>
      </c>
    </row>
    <row r="1034" spans="13:17" x14ac:dyDescent="0.3">
      <c r="M1034" t="s">
        <v>13</v>
      </c>
      <c r="N1034">
        <v>57600</v>
      </c>
      <c r="Q1034" s="4">
        <v>25000</v>
      </c>
    </row>
    <row r="1035" spans="13:17" x14ac:dyDescent="0.3">
      <c r="M1035" t="s">
        <v>13</v>
      </c>
      <c r="N1035">
        <v>57000</v>
      </c>
      <c r="Q1035" s="3">
        <v>24000</v>
      </c>
    </row>
    <row r="1036" spans="13:17" x14ac:dyDescent="0.3">
      <c r="M1036" t="s">
        <v>13</v>
      </c>
      <c r="N1036">
        <v>57000</v>
      </c>
      <c r="Q1036" s="4">
        <v>22000</v>
      </c>
    </row>
    <row r="1037" spans="13:17" x14ac:dyDescent="0.3">
      <c r="M1037" t="s">
        <v>13</v>
      </c>
      <c r="N1037">
        <v>57000</v>
      </c>
      <c r="Q1037" s="3">
        <v>21120</v>
      </c>
    </row>
    <row r="1038" spans="13:17" x14ac:dyDescent="0.3">
      <c r="M1038" t="s">
        <v>13</v>
      </c>
      <c r="N1038">
        <v>57000</v>
      </c>
      <c r="Q1038" s="4">
        <v>21000</v>
      </c>
    </row>
    <row r="1039" spans="13:17" x14ac:dyDescent="0.3">
      <c r="M1039" t="s">
        <v>13</v>
      </c>
      <c r="N1039">
        <v>57000</v>
      </c>
      <c r="Q1039" s="3">
        <v>20000</v>
      </c>
    </row>
    <row r="1040" spans="13:17" x14ac:dyDescent="0.3">
      <c r="M1040" t="s">
        <v>13</v>
      </c>
      <c r="N1040">
        <v>57000</v>
      </c>
      <c r="Q1040" s="4">
        <v>20000</v>
      </c>
    </row>
    <row r="1041" spans="13:17" x14ac:dyDescent="0.3">
      <c r="M1041" t="s">
        <v>13</v>
      </c>
      <c r="N1041">
        <v>57000</v>
      </c>
      <c r="Q1041" s="3">
        <v>20000</v>
      </c>
    </row>
    <row r="1042" spans="13:17" x14ac:dyDescent="0.3">
      <c r="M1042" t="s">
        <v>13</v>
      </c>
      <c r="N1042">
        <v>57000</v>
      </c>
      <c r="Q1042" s="4">
        <v>18700</v>
      </c>
    </row>
    <row r="1043" spans="13:17" x14ac:dyDescent="0.3">
      <c r="M1043" t="s">
        <v>13</v>
      </c>
      <c r="N1043">
        <v>57000</v>
      </c>
      <c r="Q1043" s="3">
        <v>14712</v>
      </c>
    </row>
    <row r="1044" spans="13:17" x14ac:dyDescent="0.3">
      <c r="M1044" t="s">
        <v>13</v>
      </c>
      <c r="N1044">
        <v>57000</v>
      </c>
      <c r="Q1044" s="4">
        <v>14400</v>
      </c>
    </row>
    <row r="1045" spans="13:17" x14ac:dyDescent="0.3">
      <c r="M1045" t="s">
        <v>13</v>
      </c>
      <c r="N1045">
        <v>57000</v>
      </c>
      <c r="Q1045" s="3">
        <v>13000</v>
      </c>
    </row>
    <row r="1046" spans="13:17" x14ac:dyDescent="0.3">
      <c r="M1046" t="s">
        <v>13</v>
      </c>
      <c r="N1046">
        <v>57000</v>
      </c>
      <c r="Q1046" s="4">
        <v>12000</v>
      </c>
    </row>
    <row r="1047" spans="13:17" x14ac:dyDescent="0.3">
      <c r="M1047" t="s">
        <v>13</v>
      </c>
      <c r="N1047">
        <v>56700</v>
      </c>
      <c r="Q1047" s="3">
        <v>11500</v>
      </c>
    </row>
    <row r="1048" spans="13:17" x14ac:dyDescent="0.3">
      <c r="M1048" t="s">
        <v>13</v>
      </c>
      <c r="N1048">
        <v>56400</v>
      </c>
      <c r="Q1048" s="4">
        <v>11000</v>
      </c>
    </row>
    <row r="1049" spans="13:17" x14ac:dyDescent="0.3">
      <c r="M1049" t="s">
        <v>13</v>
      </c>
      <c r="N1049">
        <v>56000</v>
      </c>
      <c r="Q1049" s="3">
        <v>10164</v>
      </c>
    </row>
    <row r="1050" spans="13:17" x14ac:dyDescent="0.3">
      <c r="M1050" t="s">
        <v>13</v>
      </c>
      <c r="N1050">
        <v>56000</v>
      </c>
      <c r="Q1050" s="4">
        <v>10001</v>
      </c>
    </row>
    <row r="1051" spans="13:17" x14ac:dyDescent="0.3">
      <c r="M1051" t="s">
        <v>13</v>
      </c>
      <c r="N1051">
        <v>56000</v>
      </c>
      <c r="Q1051" s="76">
        <v>10001</v>
      </c>
    </row>
    <row r="1052" spans="13:17" x14ac:dyDescent="0.3">
      <c r="M1052" t="s">
        <v>13</v>
      </c>
      <c r="N1052">
        <v>56000</v>
      </c>
    </row>
    <row r="1053" spans="13:17" x14ac:dyDescent="0.3">
      <c r="M1053" t="s">
        <v>13</v>
      </c>
      <c r="N1053">
        <v>56000</v>
      </c>
    </row>
    <row r="1054" spans="13:17" x14ac:dyDescent="0.3">
      <c r="M1054" t="s">
        <v>13</v>
      </c>
      <c r="N1054">
        <v>56000</v>
      </c>
    </row>
    <row r="1055" spans="13:17" x14ac:dyDescent="0.3">
      <c r="M1055" t="s">
        <v>13</v>
      </c>
      <c r="N1055">
        <v>56000</v>
      </c>
    </row>
    <row r="1056" spans="13:17" x14ac:dyDescent="0.3">
      <c r="M1056" t="s">
        <v>13</v>
      </c>
      <c r="N1056">
        <v>56000</v>
      </c>
    </row>
    <row r="1057" spans="13:14" x14ac:dyDescent="0.3">
      <c r="M1057" t="s">
        <v>13</v>
      </c>
      <c r="N1057">
        <v>56000</v>
      </c>
    </row>
    <row r="1058" spans="13:14" x14ac:dyDescent="0.3">
      <c r="M1058" t="s">
        <v>13</v>
      </c>
      <c r="N1058">
        <v>56000</v>
      </c>
    </row>
    <row r="1059" spans="13:14" x14ac:dyDescent="0.3">
      <c r="M1059" t="s">
        <v>13</v>
      </c>
      <c r="N1059">
        <v>56000</v>
      </c>
    </row>
    <row r="1060" spans="13:14" x14ac:dyDescent="0.3">
      <c r="M1060" t="s">
        <v>13</v>
      </c>
      <c r="N1060">
        <v>55500</v>
      </c>
    </row>
    <row r="1061" spans="13:14" x14ac:dyDescent="0.3">
      <c r="M1061" t="s">
        <v>13</v>
      </c>
      <c r="N1061">
        <v>55200</v>
      </c>
    </row>
    <row r="1062" spans="13:14" x14ac:dyDescent="0.3">
      <c r="M1062" t="s">
        <v>13</v>
      </c>
      <c r="N1062">
        <v>55000</v>
      </c>
    </row>
    <row r="1063" spans="13:14" x14ac:dyDescent="0.3">
      <c r="M1063" t="s">
        <v>13</v>
      </c>
      <c r="N1063">
        <v>55000</v>
      </c>
    </row>
    <row r="1064" spans="13:14" x14ac:dyDescent="0.3">
      <c r="M1064" t="s">
        <v>13</v>
      </c>
      <c r="N1064">
        <v>55000</v>
      </c>
    </row>
    <row r="1065" spans="13:14" x14ac:dyDescent="0.3">
      <c r="M1065" t="s">
        <v>13</v>
      </c>
      <c r="N1065">
        <v>55000</v>
      </c>
    </row>
    <row r="1066" spans="13:14" x14ac:dyDescent="0.3">
      <c r="M1066" t="s">
        <v>13</v>
      </c>
      <c r="N1066">
        <v>55000</v>
      </c>
    </row>
    <row r="1067" spans="13:14" x14ac:dyDescent="0.3">
      <c r="M1067" t="s">
        <v>13</v>
      </c>
      <c r="N1067">
        <v>55000</v>
      </c>
    </row>
    <row r="1068" spans="13:14" x14ac:dyDescent="0.3">
      <c r="M1068" t="s">
        <v>13</v>
      </c>
      <c r="N1068">
        <v>55000</v>
      </c>
    </row>
    <row r="1069" spans="13:14" x14ac:dyDescent="0.3">
      <c r="M1069" t="s">
        <v>13</v>
      </c>
      <c r="N1069">
        <v>55000</v>
      </c>
    </row>
    <row r="1070" spans="13:14" x14ac:dyDescent="0.3">
      <c r="M1070" t="s">
        <v>13</v>
      </c>
      <c r="N1070">
        <v>55000</v>
      </c>
    </row>
    <row r="1071" spans="13:14" x14ac:dyDescent="0.3">
      <c r="M1071" t="s">
        <v>13</v>
      </c>
      <c r="N1071">
        <v>55000</v>
      </c>
    </row>
    <row r="1072" spans="13:14" x14ac:dyDescent="0.3">
      <c r="M1072" t="s">
        <v>13</v>
      </c>
      <c r="N1072">
        <v>55000</v>
      </c>
    </row>
    <row r="1073" spans="13:14" x14ac:dyDescent="0.3">
      <c r="M1073" t="s">
        <v>13</v>
      </c>
      <c r="N1073">
        <v>55000</v>
      </c>
    </row>
    <row r="1074" spans="13:14" x14ac:dyDescent="0.3">
      <c r="M1074" t="s">
        <v>13</v>
      </c>
      <c r="N1074">
        <v>55000</v>
      </c>
    </row>
    <row r="1075" spans="13:14" x14ac:dyDescent="0.3">
      <c r="M1075" t="s">
        <v>13</v>
      </c>
      <c r="N1075">
        <v>55000</v>
      </c>
    </row>
    <row r="1076" spans="13:14" x14ac:dyDescent="0.3">
      <c r="M1076" t="s">
        <v>13</v>
      </c>
      <c r="N1076">
        <v>55000</v>
      </c>
    </row>
    <row r="1077" spans="13:14" x14ac:dyDescent="0.3">
      <c r="M1077" t="s">
        <v>13</v>
      </c>
      <c r="N1077">
        <v>55000</v>
      </c>
    </row>
    <row r="1078" spans="13:14" x14ac:dyDescent="0.3">
      <c r="M1078" t="s">
        <v>13</v>
      </c>
      <c r="N1078">
        <v>55000</v>
      </c>
    </row>
    <row r="1079" spans="13:14" x14ac:dyDescent="0.3">
      <c r="M1079" t="s">
        <v>13</v>
      </c>
      <c r="N1079">
        <v>55000</v>
      </c>
    </row>
    <row r="1080" spans="13:14" x14ac:dyDescent="0.3">
      <c r="M1080" t="s">
        <v>13</v>
      </c>
      <c r="N1080">
        <v>55000</v>
      </c>
    </row>
    <row r="1081" spans="13:14" x14ac:dyDescent="0.3">
      <c r="M1081" t="s">
        <v>13</v>
      </c>
      <c r="N1081">
        <v>55000</v>
      </c>
    </row>
    <row r="1082" spans="13:14" x14ac:dyDescent="0.3">
      <c r="M1082" t="s">
        <v>13</v>
      </c>
      <c r="N1082">
        <v>55000</v>
      </c>
    </row>
    <row r="1083" spans="13:14" x14ac:dyDescent="0.3">
      <c r="M1083" t="s">
        <v>13</v>
      </c>
      <c r="N1083">
        <v>55000</v>
      </c>
    </row>
    <row r="1084" spans="13:14" x14ac:dyDescent="0.3">
      <c r="M1084" t="s">
        <v>13</v>
      </c>
      <c r="N1084">
        <v>55000</v>
      </c>
    </row>
    <row r="1085" spans="13:14" x14ac:dyDescent="0.3">
      <c r="M1085" t="s">
        <v>13</v>
      </c>
      <c r="N1085">
        <v>55000</v>
      </c>
    </row>
    <row r="1086" spans="13:14" x14ac:dyDescent="0.3">
      <c r="M1086" t="s">
        <v>13</v>
      </c>
      <c r="N1086">
        <v>55000</v>
      </c>
    </row>
    <row r="1087" spans="13:14" x14ac:dyDescent="0.3">
      <c r="M1087" t="s">
        <v>13</v>
      </c>
      <c r="N1087">
        <v>55000</v>
      </c>
    </row>
    <row r="1088" spans="13:14" x14ac:dyDescent="0.3">
      <c r="M1088" t="s">
        <v>13</v>
      </c>
      <c r="N1088">
        <v>55000</v>
      </c>
    </row>
    <row r="1089" spans="13:14" x14ac:dyDescent="0.3">
      <c r="M1089" t="s">
        <v>13</v>
      </c>
      <c r="N1089">
        <v>54500</v>
      </c>
    </row>
    <row r="1090" spans="13:14" x14ac:dyDescent="0.3">
      <c r="M1090" t="s">
        <v>13</v>
      </c>
      <c r="N1090">
        <v>54179.13</v>
      </c>
    </row>
    <row r="1091" spans="13:14" x14ac:dyDescent="0.3">
      <c r="M1091" t="s">
        <v>13</v>
      </c>
      <c r="N1091">
        <v>54000</v>
      </c>
    </row>
    <row r="1092" spans="13:14" x14ac:dyDescent="0.3">
      <c r="M1092" t="s">
        <v>13</v>
      </c>
      <c r="N1092">
        <v>54000</v>
      </c>
    </row>
    <row r="1093" spans="13:14" x14ac:dyDescent="0.3">
      <c r="M1093" t="s">
        <v>13</v>
      </c>
      <c r="N1093">
        <v>54000</v>
      </c>
    </row>
    <row r="1094" spans="13:14" x14ac:dyDescent="0.3">
      <c r="M1094" t="s">
        <v>13</v>
      </c>
      <c r="N1094">
        <v>54000</v>
      </c>
    </row>
    <row r="1095" spans="13:14" x14ac:dyDescent="0.3">
      <c r="M1095" t="s">
        <v>13</v>
      </c>
      <c r="N1095">
        <v>54000</v>
      </c>
    </row>
    <row r="1096" spans="13:14" x14ac:dyDescent="0.3">
      <c r="M1096" t="s">
        <v>13</v>
      </c>
      <c r="N1096">
        <v>54000</v>
      </c>
    </row>
    <row r="1097" spans="13:14" x14ac:dyDescent="0.3">
      <c r="M1097" t="s">
        <v>13</v>
      </c>
      <c r="N1097">
        <v>54000</v>
      </c>
    </row>
    <row r="1098" spans="13:14" x14ac:dyDescent="0.3">
      <c r="M1098" t="s">
        <v>13</v>
      </c>
      <c r="N1098">
        <v>54000</v>
      </c>
    </row>
    <row r="1099" spans="13:14" x14ac:dyDescent="0.3">
      <c r="M1099" t="s">
        <v>13</v>
      </c>
      <c r="N1099">
        <v>54000</v>
      </c>
    </row>
    <row r="1100" spans="13:14" x14ac:dyDescent="0.3">
      <c r="M1100" t="s">
        <v>13</v>
      </c>
      <c r="N1100">
        <v>54000</v>
      </c>
    </row>
    <row r="1101" spans="13:14" x14ac:dyDescent="0.3">
      <c r="M1101" t="s">
        <v>13</v>
      </c>
      <c r="N1101">
        <v>54000</v>
      </c>
    </row>
    <row r="1102" spans="13:14" x14ac:dyDescent="0.3">
      <c r="M1102" t="s">
        <v>13</v>
      </c>
      <c r="N1102">
        <v>53500</v>
      </c>
    </row>
    <row r="1103" spans="13:14" x14ac:dyDescent="0.3">
      <c r="M1103" t="s">
        <v>13</v>
      </c>
      <c r="N1103">
        <v>53000</v>
      </c>
    </row>
    <row r="1104" spans="13:14" x14ac:dyDescent="0.3">
      <c r="M1104" t="s">
        <v>13</v>
      </c>
      <c r="N1104">
        <v>53000</v>
      </c>
    </row>
    <row r="1105" spans="13:14" x14ac:dyDescent="0.3">
      <c r="M1105" t="s">
        <v>13</v>
      </c>
      <c r="N1105">
        <v>53000</v>
      </c>
    </row>
    <row r="1106" spans="13:14" x14ac:dyDescent="0.3">
      <c r="M1106" t="s">
        <v>13</v>
      </c>
      <c r="N1106">
        <v>53000</v>
      </c>
    </row>
    <row r="1107" spans="13:14" x14ac:dyDescent="0.3">
      <c r="M1107" t="s">
        <v>13</v>
      </c>
      <c r="N1107">
        <v>52800</v>
      </c>
    </row>
    <row r="1108" spans="13:14" x14ac:dyDescent="0.3">
      <c r="M1108" t="s">
        <v>13</v>
      </c>
      <c r="N1108">
        <v>52500</v>
      </c>
    </row>
    <row r="1109" spans="13:14" x14ac:dyDescent="0.3">
      <c r="M1109" t="s">
        <v>13</v>
      </c>
      <c r="N1109">
        <v>52500</v>
      </c>
    </row>
    <row r="1110" spans="13:14" x14ac:dyDescent="0.3">
      <c r="M1110" t="s">
        <v>13</v>
      </c>
      <c r="N1110">
        <v>52000</v>
      </c>
    </row>
    <row r="1111" spans="13:14" x14ac:dyDescent="0.3">
      <c r="M1111" t="s">
        <v>13</v>
      </c>
      <c r="N1111">
        <v>52000</v>
      </c>
    </row>
    <row r="1112" spans="13:14" x14ac:dyDescent="0.3">
      <c r="M1112" t="s">
        <v>13</v>
      </c>
      <c r="N1112">
        <v>51000</v>
      </c>
    </row>
    <row r="1113" spans="13:14" x14ac:dyDescent="0.3">
      <c r="M1113" t="s">
        <v>13</v>
      </c>
      <c r="N1113">
        <v>51000</v>
      </c>
    </row>
    <row r="1114" spans="13:14" x14ac:dyDescent="0.3">
      <c r="M1114" t="s">
        <v>13</v>
      </c>
      <c r="N1114">
        <v>51000</v>
      </c>
    </row>
    <row r="1115" spans="13:14" x14ac:dyDescent="0.3">
      <c r="M1115" t="s">
        <v>13</v>
      </c>
      <c r="N1115">
        <v>51000</v>
      </c>
    </row>
    <row r="1116" spans="13:14" x14ac:dyDescent="0.3">
      <c r="M1116" t="s">
        <v>13</v>
      </c>
      <c r="N1116">
        <v>51000</v>
      </c>
    </row>
    <row r="1117" spans="13:14" x14ac:dyDescent="0.3">
      <c r="M1117" t="s">
        <v>13</v>
      </c>
      <c r="N1117">
        <v>50400</v>
      </c>
    </row>
    <row r="1118" spans="13:14" x14ac:dyDescent="0.3">
      <c r="M1118" t="s">
        <v>13</v>
      </c>
      <c r="N1118">
        <v>50400</v>
      </c>
    </row>
    <row r="1119" spans="13:14" x14ac:dyDescent="0.3">
      <c r="M1119" t="s">
        <v>13</v>
      </c>
      <c r="N1119">
        <v>50000</v>
      </c>
    </row>
    <row r="1120" spans="13:14" x14ac:dyDescent="0.3">
      <c r="M1120" t="s">
        <v>13</v>
      </c>
      <c r="N1120">
        <v>50000</v>
      </c>
    </row>
    <row r="1121" spans="13:14" x14ac:dyDescent="0.3">
      <c r="M1121" t="s">
        <v>13</v>
      </c>
      <c r="N1121">
        <v>50000</v>
      </c>
    </row>
    <row r="1122" spans="13:14" x14ac:dyDescent="0.3">
      <c r="M1122" t="s">
        <v>13</v>
      </c>
      <c r="N1122">
        <v>50000</v>
      </c>
    </row>
    <row r="1123" spans="13:14" x14ac:dyDescent="0.3">
      <c r="M1123" t="s">
        <v>13</v>
      </c>
      <c r="N1123">
        <v>50000</v>
      </c>
    </row>
    <row r="1124" spans="13:14" x14ac:dyDescent="0.3">
      <c r="M1124" t="s">
        <v>13</v>
      </c>
      <c r="N1124">
        <v>50000</v>
      </c>
    </row>
    <row r="1125" spans="13:14" x14ac:dyDescent="0.3">
      <c r="M1125" t="s">
        <v>13</v>
      </c>
      <c r="N1125">
        <v>50000</v>
      </c>
    </row>
    <row r="1126" spans="13:14" x14ac:dyDescent="0.3">
      <c r="M1126" t="s">
        <v>13</v>
      </c>
      <c r="N1126">
        <v>50000</v>
      </c>
    </row>
    <row r="1127" spans="13:14" x14ac:dyDescent="0.3">
      <c r="M1127" t="s">
        <v>13</v>
      </c>
      <c r="N1127">
        <v>50000</v>
      </c>
    </row>
    <row r="1128" spans="13:14" x14ac:dyDescent="0.3">
      <c r="M1128" t="s">
        <v>13</v>
      </c>
      <c r="N1128">
        <v>50000</v>
      </c>
    </row>
    <row r="1129" spans="13:14" x14ac:dyDescent="0.3">
      <c r="M1129" t="s">
        <v>13</v>
      </c>
      <c r="N1129">
        <v>50000</v>
      </c>
    </row>
    <row r="1130" spans="13:14" x14ac:dyDescent="0.3">
      <c r="M1130" t="s">
        <v>13</v>
      </c>
      <c r="N1130">
        <v>50000</v>
      </c>
    </row>
    <row r="1131" spans="13:14" x14ac:dyDescent="0.3">
      <c r="M1131" t="s">
        <v>13</v>
      </c>
      <c r="N1131">
        <v>50000</v>
      </c>
    </row>
    <row r="1132" spans="13:14" x14ac:dyDescent="0.3">
      <c r="M1132" t="s">
        <v>13</v>
      </c>
      <c r="N1132">
        <v>50000</v>
      </c>
    </row>
    <row r="1133" spans="13:14" x14ac:dyDescent="0.3">
      <c r="M1133" t="s">
        <v>13</v>
      </c>
      <c r="N1133">
        <v>50000</v>
      </c>
    </row>
    <row r="1134" spans="13:14" x14ac:dyDescent="0.3">
      <c r="M1134" t="s">
        <v>13</v>
      </c>
      <c r="N1134">
        <v>50000</v>
      </c>
    </row>
    <row r="1135" spans="13:14" x14ac:dyDescent="0.3">
      <c r="M1135" t="s">
        <v>13</v>
      </c>
      <c r="N1135">
        <v>50000</v>
      </c>
    </row>
    <row r="1136" spans="13:14" x14ac:dyDescent="0.3">
      <c r="M1136" t="s">
        <v>13</v>
      </c>
      <c r="N1136">
        <v>50000</v>
      </c>
    </row>
    <row r="1137" spans="13:14" x14ac:dyDescent="0.3">
      <c r="M1137" t="s">
        <v>13</v>
      </c>
      <c r="N1137">
        <v>49200</v>
      </c>
    </row>
    <row r="1138" spans="13:14" x14ac:dyDescent="0.3">
      <c r="M1138" t="s">
        <v>13</v>
      </c>
      <c r="N1138">
        <v>49000</v>
      </c>
    </row>
    <row r="1139" spans="13:14" x14ac:dyDescent="0.3">
      <c r="M1139" t="s">
        <v>13</v>
      </c>
      <c r="N1139">
        <v>49000</v>
      </c>
    </row>
    <row r="1140" spans="13:14" x14ac:dyDescent="0.3">
      <c r="M1140" t="s">
        <v>13</v>
      </c>
      <c r="N1140">
        <v>49000</v>
      </c>
    </row>
    <row r="1141" spans="13:14" x14ac:dyDescent="0.3">
      <c r="M1141" t="s">
        <v>13</v>
      </c>
      <c r="N1141">
        <v>49000</v>
      </c>
    </row>
    <row r="1142" spans="13:14" x14ac:dyDescent="0.3">
      <c r="M1142" t="s">
        <v>13</v>
      </c>
      <c r="N1142">
        <v>49000</v>
      </c>
    </row>
    <row r="1143" spans="13:14" x14ac:dyDescent="0.3">
      <c r="M1143" t="s">
        <v>13</v>
      </c>
      <c r="N1143">
        <v>48000</v>
      </c>
    </row>
    <row r="1144" spans="13:14" x14ac:dyDescent="0.3">
      <c r="M1144" t="s">
        <v>13</v>
      </c>
      <c r="N1144">
        <v>48000</v>
      </c>
    </row>
    <row r="1145" spans="13:14" x14ac:dyDescent="0.3">
      <c r="M1145" t="s">
        <v>13</v>
      </c>
      <c r="N1145">
        <v>48000</v>
      </c>
    </row>
    <row r="1146" spans="13:14" x14ac:dyDescent="0.3">
      <c r="M1146" t="s">
        <v>13</v>
      </c>
      <c r="N1146">
        <v>48000</v>
      </c>
    </row>
    <row r="1147" spans="13:14" x14ac:dyDescent="0.3">
      <c r="M1147" t="s">
        <v>13</v>
      </c>
      <c r="N1147">
        <v>48000</v>
      </c>
    </row>
    <row r="1148" spans="13:14" x14ac:dyDescent="0.3">
      <c r="M1148" t="s">
        <v>13</v>
      </c>
      <c r="N1148">
        <v>48000</v>
      </c>
    </row>
    <row r="1149" spans="13:14" x14ac:dyDescent="0.3">
      <c r="M1149" t="s">
        <v>13</v>
      </c>
      <c r="N1149">
        <v>48000</v>
      </c>
    </row>
    <row r="1150" spans="13:14" x14ac:dyDescent="0.3">
      <c r="M1150" t="s">
        <v>13</v>
      </c>
      <c r="N1150">
        <v>48000</v>
      </c>
    </row>
    <row r="1151" spans="13:14" x14ac:dyDescent="0.3">
      <c r="M1151" t="s">
        <v>13</v>
      </c>
      <c r="N1151">
        <v>48000</v>
      </c>
    </row>
    <row r="1152" spans="13:14" x14ac:dyDescent="0.3">
      <c r="M1152" t="s">
        <v>13</v>
      </c>
      <c r="N1152">
        <v>48000</v>
      </c>
    </row>
    <row r="1153" spans="13:14" x14ac:dyDescent="0.3">
      <c r="M1153" t="s">
        <v>13</v>
      </c>
      <c r="N1153">
        <v>48000</v>
      </c>
    </row>
    <row r="1154" spans="13:14" x14ac:dyDescent="0.3">
      <c r="M1154" t="s">
        <v>13</v>
      </c>
      <c r="N1154">
        <v>48000</v>
      </c>
    </row>
    <row r="1155" spans="13:14" x14ac:dyDescent="0.3">
      <c r="M1155" t="s">
        <v>13</v>
      </c>
      <c r="N1155">
        <v>48000</v>
      </c>
    </row>
    <row r="1156" spans="13:14" x14ac:dyDescent="0.3">
      <c r="M1156" t="s">
        <v>13</v>
      </c>
      <c r="N1156">
        <v>48000</v>
      </c>
    </row>
    <row r="1157" spans="13:14" x14ac:dyDescent="0.3">
      <c r="M1157" t="s">
        <v>13</v>
      </c>
      <c r="N1157">
        <v>47400</v>
      </c>
    </row>
    <row r="1158" spans="13:14" x14ac:dyDescent="0.3">
      <c r="M1158" t="s">
        <v>13</v>
      </c>
      <c r="N1158">
        <v>47000</v>
      </c>
    </row>
    <row r="1159" spans="13:14" x14ac:dyDescent="0.3">
      <c r="M1159" t="s">
        <v>13</v>
      </c>
      <c r="N1159">
        <v>46000</v>
      </c>
    </row>
    <row r="1160" spans="13:14" x14ac:dyDescent="0.3">
      <c r="M1160" t="s">
        <v>13</v>
      </c>
      <c r="N1160">
        <v>46000</v>
      </c>
    </row>
    <row r="1161" spans="13:14" x14ac:dyDescent="0.3">
      <c r="M1161" t="s">
        <v>13</v>
      </c>
      <c r="N1161">
        <v>46000</v>
      </c>
    </row>
    <row r="1162" spans="13:14" x14ac:dyDescent="0.3">
      <c r="M1162" t="s">
        <v>13</v>
      </c>
      <c r="N1162">
        <v>45600</v>
      </c>
    </row>
    <row r="1163" spans="13:14" x14ac:dyDescent="0.3">
      <c r="M1163" t="s">
        <v>13</v>
      </c>
      <c r="N1163">
        <v>45500</v>
      </c>
    </row>
    <row r="1164" spans="13:14" x14ac:dyDescent="0.3">
      <c r="M1164" t="s">
        <v>13</v>
      </c>
      <c r="N1164">
        <v>45000</v>
      </c>
    </row>
    <row r="1165" spans="13:14" x14ac:dyDescent="0.3">
      <c r="M1165" t="s">
        <v>13</v>
      </c>
      <c r="N1165">
        <v>45000</v>
      </c>
    </row>
    <row r="1166" spans="13:14" x14ac:dyDescent="0.3">
      <c r="M1166" t="s">
        <v>13</v>
      </c>
      <c r="N1166">
        <v>45000</v>
      </c>
    </row>
    <row r="1167" spans="13:14" x14ac:dyDescent="0.3">
      <c r="M1167" t="s">
        <v>13</v>
      </c>
      <c r="N1167">
        <v>45000</v>
      </c>
    </row>
    <row r="1168" spans="13:14" x14ac:dyDescent="0.3">
      <c r="M1168" t="s">
        <v>13</v>
      </c>
      <c r="N1168">
        <v>45000</v>
      </c>
    </row>
    <row r="1169" spans="13:14" x14ac:dyDescent="0.3">
      <c r="M1169" t="s">
        <v>13</v>
      </c>
      <c r="N1169">
        <v>45000</v>
      </c>
    </row>
    <row r="1170" spans="13:14" x14ac:dyDescent="0.3">
      <c r="M1170" t="s">
        <v>13</v>
      </c>
      <c r="N1170">
        <v>45000</v>
      </c>
    </row>
    <row r="1171" spans="13:14" x14ac:dyDescent="0.3">
      <c r="M1171" t="s">
        <v>13</v>
      </c>
      <c r="N1171">
        <v>45000</v>
      </c>
    </row>
    <row r="1172" spans="13:14" x14ac:dyDescent="0.3">
      <c r="M1172" t="s">
        <v>13</v>
      </c>
      <c r="N1172">
        <v>45000</v>
      </c>
    </row>
    <row r="1173" spans="13:14" x14ac:dyDescent="0.3">
      <c r="M1173" t="s">
        <v>13</v>
      </c>
      <c r="N1173">
        <v>44000</v>
      </c>
    </row>
    <row r="1174" spans="13:14" x14ac:dyDescent="0.3">
      <c r="M1174" t="s">
        <v>13</v>
      </c>
      <c r="N1174">
        <v>44000</v>
      </c>
    </row>
    <row r="1175" spans="13:14" x14ac:dyDescent="0.3">
      <c r="M1175" t="s">
        <v>13</v>
      </c>
      <c r="N1175">
        <v>44000</v>
      </c>
    </row>
    <row r="1176" spans="13:14" x14ac:dyDescent="0.3">
      <c r="M1176" t="s">
        <v>13</v>
      </c>
      <c r="N1176">
        <v>44000</v>
      </c>
    </row>
    <row r="1177" spans="13:14" x14ac:dyDescent="0.3">
      <c r="M1177" t="s">
        <v>13</v>
      </c>
      <c r="N1177">
        <v>44000</v>
      </c>
    </row>
    <row r="1178" spans="13:14" x14ac:dyDescent="0.3">
      <c r="M1178" t="s">
        <v>13</v>
      </c>
      <c r="N1178">
        <v>43500</v>
      </c>
    </row>
    <row r="1179" spans="13:14" x14ac:dyDescent="0.3">
      <c r="M1179" t="s">
        <v>13</v>
      </c>
      <c r="N1179">
        <v>43000</v>
      </c>
    </row>
    <row r="1180" spans="13:14" x14ac:dyDescent="0.3">
      <c r="M1180" t="s">
        <v>13</v>
      </c>
      <c r="N1180">
        <v>43000</v>
      </c>
    </row>
    <row r="1181" spans="13:14" x14ac:dyDescent="0.3">
      <c r="M1181" t="s">
        <v>13</v>
      </c>
      <c r="N1181">
        <v>43000</v>
      </c>
    </row>
    <row r="1182" spans="13:14" x14ac:dyDescent="0.3">
      <c r="M1182" t="s">
        <v>13</v>
      </c>
      <c r="N1182">
        <v>42000</v>
      </c>
    </row>
    <row r="1183" spans="13:14" x14ac:dyDescent="0.3">
      <c r="M1183" t="s">
        <v>13</v>
      </c>
      <c r="N1183">
        <v>42000</v>
      </c>
    </row>
    <row r="1184" spans="13:14" x14ac:dyDescent="0.3">
      <c r="M1184" t="s">
        <v>13</v>
      </c>
      <c r="N1184">
        <v>42000</v>
      </c>
    </row>
    <row r="1185" spans="13:14" x14ac:dyDescent="0.3">
      <c r="M1185" t="s">
        <v>13</v>
      </c>
      <c r="N1185">
        <v>42000</v>
      </c>
    </row>
    <row r="1186" spans="13:14" x14ac:dyDescent="0.3">
      <c r="M1186" t="s">
        <v>13</v>
      </c>
      <c r="N1186">
        <v>42000</v>
      </c>
    </row>
    <row r="1187" spans="13:14" x14ac:dyDescent="0.3">
      <c r="M1187" t="s">
        <v>13</v>
      </c>
      <c r="N1187">
        <v>42000</v>
      </c>
    </row>
    <row r="1188" spans="13:14" x14ac:dyDescent="0.3">
      <c r="M1188" t="s">
        <v>13</v>
      </c>
      <c r="N1188">
        <v>42000</v>
      </c>
    </row>
    <row r="1189" spans="13:14" x14ac:dyDescent="0.3">
      <c r="M1189" t="s">
        <v>13</v>
      </c>
      <c r="N1189">
        <v>40800</v>
      </c>
    </row>
    <row r="1190" spans="13:14" x14ac:dyDescent="0.3">
      <c r="M1190" t="s">
        <v>13</v>
      </c>
      <c r="N1190">
        <v>40700</v>
      </c>
    </row>
    <row r="1191" spans="13:14" x14ac:dyDescent="0.3">
      <c r="M1191" t="s">
        <v>13</v>
      </c>
      <c r="N1191">
        <v>40000</v>
      </c>
    </row>
    <row r="1192" spans="13:14" x14ac:dyDescent="0.3">
      <c r="M1192" t="s">
        <v>13</v>
      </c>
      <c r="N1192">
        <v>40000</v>
      </c>
    </row>
    <row r="1193" spans="13:14" x14ac:dyDescent="0.3">
      <c r="M1193" t="s">
        <v>13</v>
      </c>
      <c r="N1193">
        <v>40000</v>
      </c>
    </row>
    <row r="1194" spans="13:14" x14ac:dyDescent="0.3">
      <c r="M1194" t="s">
        <v>13</v>
      </c>
      <c r="N1194">
        <v>38350</v>
      </c>
    </row>
    <row r="1195" spans="13:14" x14ac:dyDescent="0.3">
      <c r="M1195" t="s">
        <v>13</v>
      </c>
      <c r="N1195">
        <v>38000</v>
      </c>
    </row>
    <row r="1196" spans="13:14" x14ac:dyDescent="0.3">
      <c r="M1196" t="s">
        <v>13</v>
      </c>
      <c r="N1196">
        <v>37500</v>
      </c>
    </row>
    <row r="1197" spans="13:14" x14ac:dyDescent="0.3">
      <c r="M1197" t="s">
        <v>13</v>
      </c>
      <c r="N1197">
        <v>37500</v>
      </c>
    </row>
    <row r="1198" spans="13:14" x14ac:dyDescent="0.3">
      <c r="M1198" t="s">
        <v>13</v>
      </c>
      <c r="N1198">
        <v>37500</v>
      </c>
    </row>
    <row r="1199" spans="13:14" x14ac:dyDescent="0.3">
      <c r="M1199" t="s">
        <v>13</v>
      </c>
      <c r="N1199">
        <v>37000</v>
      </c>
    </row>
    <row r="1200" spans="13:14" x14ac:dyDescent="0.3">
      <c r="M1200" t="s">
        <v>13</v>
      </c>
      <c r="N1200">
        <v>36000</v>
      </c>
    </row>
    <row r="1201" spans="13:14" x14ac:dyDescent="0.3">
      <c r="M1201" t="s">
        <v>13</v>
      </c>
      <c r="N1201">
        <v>36000</v>
      </c>
    </row>
    <row r="1202" spans="13:14" x14ac:dyDescent="0.3">
      <c r="M1202" t="s">
        <v>13</v>
      </c>
      <c r="N1202">
        <v>36000</v>
      </c>
    </row>
    <row r="1203" spans="13:14" x14ac:dyDescent="0.3">
      <c r="M1203" t="s">
        <v>13</v>
      </c>
      <c r="N1203">
        <v>36000</v>
      </c>
    </row>
    <row r="1204" spans="13:14" x14ac:dyDescent="0.3">
      <c r="M1204" t="s">
        <v>13</v>
      </c>
      <c r="N1204">
        <v>35000</v>
      </c>
    </row>
    <row r="1205" spans="13:14" x14ac:dyDescent="0.3">
      <c r="M1205" t="s">
        <v>13</v>
      </c>
      <c r="N1205">
        <v>35000</v>
      </c>
    </row>
    <row r="1206" spans="13:14" x14ac:dyDescent="0.3">
      <c r="M1206" t="s">
        <v>13</v>
      </c>
      <c r="N1206">
        <v>35000</v>
      </c>
    </row>
    <row r="1207" spans="13:14" x14ac:dyDescent="0.3">
      <c r="M1207" t="s">
        <v>13</v>
      </c>
      <c r="N1207">
        <v>34000</v>
      </c>
    </row>
    <row r="1208" spans="13:14" x14ac:dyDescent="0.3">
      <c r="M1208" t="s">
        <v>13</v>
      </c>
      <c r="N1208">
        <v>32000</v>
      </c>
    </row>
    <row r="1209" spans="13:14" x14ac:dyDescent="0.3">
      <c r="M1209" t="s">
        <v>13</v>
      </c>
      <c r="N1209">
        <v>30000</v>
      </c>
    </row>
    <row r="1210" spans="13:14" x14ac:dyDescent="0.3">
      <c r="M1210" t="s">
        <v>13</v>
      </c>
      <c r="N1210">
        <v>30000</v>
      </c>
    </row>
    <row r="1211" spans="13:14" x14ac:dyDescent="0.3">
      <c r="M1211" t="s">
        <v>13</v>
      </c>
      <c r="N1211">
        <v>30000</v>
      </c>
    </row>
    <row r="1212" spans="13:14" x14ac:dyDescent="0.3">
      <c r="M1212" t="s">
        <v>13</v>
      </c>
      <c r="N1212">
        <v>30000</v>
      </c>
    </row>
    <row r="1213" spans="13:14" x14ac:dyDescent="0.3">
      <c r="M1213" t="s">
        <v>13</v>
      </c>
      <c r="N1213">
        <v>30000</v>
      </c>
    </row>
    <row r="1214" spans="13:14" x14ac:dyDescent="0.3">
      <c r="M1214" t="s">
        <v>13</v>
      </c>
      <c r="N1214">
        <v>30000</v>
      </c>
    </row>
    <row r="1215" spans="13:14" x14ac:dyDescent="0.3">
      <c r="M1215" t="s">
        <v>13</v>
      </c>
      <c r="N1215">
        <v>30000</v>
      </c>
    </row>
    <row r="1216" spans="13:14" x14ac:dyDescent="0.3">
      <c r="M1216" t="s">
        <v>13</v>
      </c>
      <c r="N1216">
        <v>28800</v>
      </c>
    </row>
    <row r="1217" spans="13:14" x14ac:dyDescent="0.3">
      <c r="M1217" t="s">
        <v>13</v>
      </c>
      <c r="N1217">
        <v>28000</v>
      </c>
    </row>
    <row r="1218" spans="13:14" x14ac:dyDescent="0.3">
      <c r="M1218" t="s">
        <v>13</v>
      </c>
      <c r="N1218">
        <v>27000</v>
      </c>
    </row>
    <row r="1219" spans="13:14" x14ac:dyDescent="0.3">
      <c r="M1219" t="s">
        <v>13</v>
      </c>
      <c r="N1219">
        <v>27000</v>
      </c>
    </row>
    <row r="1220" spans="13:14" x14ac:dyDescent="0.3">
      <c r="M1220" t="s">
        <v>13</v>
      </c>
      <c r="N1220">
        <v>26400</v>
      </c>
    </row>
    <row r="1221" spans="13:14" x14ac:dyDescent="0.3">
      <c r="M1221" t="s">
        <v>13</v>
      </c>
      <c r="N1221">
        <v>25300</v>
      </c>
    </row>
    <row r="1222" spans="13:14" x14ac:dyDescent="0.3">
      <c r="M1222" t="s">
        <v>13</v>
      </c>
      <c r="N1222">
        <v>25000</v>
      </c>
    </row>
    <row r="1223" spans="13:14" x14ac:dyDescent="0.3">
      <c r="M1223" t="s">
        <v>13</v>
      </c>
      <c r="N1223">
        <v>25000</v>
      </c>
    </row>
    <row r="1224" spans="13:14" x14ac:dyDescent="0.3">
      <c r="M1224" t="s">
        <v>13</v>
      </c>
      <c r="N1224">
        <v>24000</v>
      </c>
    </row>
    <row r="1225" spans="13:14" x14ac:dyDescent="0.3">
      <c r="M1225" t="s">
        <v>13</v>
      </c>
      <c r="N1225">
        <v>22000</v>
      </c>
    </row>
    <row r="1226" spans="13:14" x14ac:dyDescent="0.3">
      <c r="M1226" t="s">
        <v>13</v>
      </c>
      <c r="N1226">
        <v>21120</v>
      </c>
    </row>
    <row r="1227" spans="13:14" x14ac:dyDescent="0.3">
      <c r="M1227" t="s">
        <v>13</v>
      </c>
      <c r="N1227">
        <v>21000</v>
      </c>
    </row>
    <row r="1228" spans="13:14" x14ac:dyDescent="0.3">
      <c r="M1228" t="s">
        <v>13</v>
      </c>
      <c r="N1228">
        <v>20000</v>
      </c>
    </row>
    <row r="1229" spans="13:14" x14ac:dyDescent="0.3">
      <c r="M1229" t="s">
        <v>13</v>
      </c>
      <c r="N1229">
        <v>20000</v>
      </c>
    </row>
    <row r="1230" spans="13:14" x14ac:dyDescent="0.3">
      <c r="M1230" t="s">
        <v>13</v>
      </c>
      <c r="N1230">
        <v>20000</v>
      </c>
    </row>
    <row r="1231" spans="13:14" x14ac:dyDescent="0.3">
      <c r="M1231" t="s">
        <v>13</v>
      </c>
      <c r="N1231">
        <v>18700</v>
      </c>
    </row>
    <row r="1232" spans="13:14" x14ac:dyDescent="0.3">
      <c r="M1232" t="s">
        <v>13</v>
      </c>
      <c r="N1232">
        <v>14712</v>
      </c>
    </row>
    <row r="1233" spans="13:14" x14ac:dyDescent="0.3">
      <c r="M1233" t="s">
        <v>13</v>
      </c>
      <c r="N1233">
        <v>14400</v>
      </c>
    </row>
    <row r="1234" spans="13:14" x14ac:dyDescent="0.3">
      <c r="M1234" t="s">
        <v>13</v>
      </c>
      <c r="N1234">
        <v>13000</v>
      </c>
    </row>
    <row r="1235" spans="13:14" x14ac:dyDescent="0.3">
      <c r="M1235" t="s">
        <v>13</v>
      </c>
      <c r="N1235">
        <v>12000</v>
      </c>
    </row>
    <row r="1236" spans="13:14" x14ac:dyDescent="0.3">
      <c r="M1236" t="s">
        <v>13</v>
      </c>
      <c r="N1236">
        <v>11500</v>
      </c>
    </row>
    <row r="1237" spans="13:14" x14ac:dyDescent="0.3">
      <c r="M1237" t="s">
        <v>13</v>
      </c>
      <c r="N1237">
        <v>11000</v>
      </c>
    </row>
    <row r="1238" spans="13:14" x14ac:dyDescent="0.3">
      <c r="M1238" t="s">
        <v>13</v>
      </c>
      <c r="N1238">
        <v>10164</v>
      </c>
    </row>
    <row r="1239" spans="13:14" x14ac:dyDescent="0.3">
      <c r="M1239" t="s">
        <v>13</v>
      </c>
      <c r="N1239">
        <v>10001</v>
      </c>
    </row>
    <row r="1240" spans="13:14" x14ac:dyDescent="0.3">
      <c r="M1240" t="s">
        <v>13</v>
      </c>
      <c r="N1240">
        <v>10001</v>
      </c>
    </row>
  </sheetData>
  <mergeCells count="4">
    <mergeCell ref="P1:Q2"/>
    <mergeCell ref="I7:I9"/>
    <mergeCell ref="H7:H9"/>
    <mergeCell ref="A1:J1"/>
  </mergeCells>
  <pageMargins left="0.511811024" right="0.511811024" top="0.78740157499999996" bottom="0.78740157499999996" header="0.31496062000000002" footer="0.31496062000000002"/>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853C-E2DC-423A-A2B0-6F7EEF924C74}">
  <dimension ref="A1:T1246"/>
  <sheetViews>
    <sheetView showGridLines="0" topLeftCell="A25" workbookViewId="0">
      <selection activeCell="J17" sqref="J17"/>
    </sheetView>
  </sheetViews>
  <sheetFormatPr defaultRowHeight="14.4" x14ac:dyDescent="0.3"/>
  <cols>
    <col min="2" max="2" width="18.21875" bestFit="1" customWidth="1"/>
    <col min="3" max="3" width="14.44140625" customWidth="1"/>
    <col min="4" max="4" width="13.77734375" customWidth="1"/>
    <col min="5" max="5" width="9.44140625" bestFit="1" customWidth="1"/>
    <col min="7" max="7" width="12" bestFit="1" customWidth="1"/>
    <col min="11" max="11" width="37.33203125" customWidth="1"/>
    <col min="12" max="12" width="20.5546875" customWidth="1"/>
    <col min="14" max="14" width="16" bestFit="1" customWidth="1"/>
    <col min="15" max="15" width="16.77734375" bestFit="1" customWidth="1"/>
    <col min="16" max="16" width="14" customWidth="1"/>
    <col min="17" max="17" width="19" customWidth="1"/>
    <col min="18" max="18" width="12.77734375" customWidth="1"/>
    <col min="19" max="19" width="9.109375" customWidth="1"/>
    <col min="20" max="20" width="17.33203125" customWidth="1"/>
    <col min="21" max="21" width="9" customWidth="1"/>
  </cols>
  <sheetData>
    <row r="1" spans="1:20" x14ac:dyDescent="0.3">
      <c r="A1" s="150" t="s">
        <v>518</v>
      </c>
      <c r="B1" s="150"/>
      <c r="C1" s="150"/>
      <c r="D1" s="150"/>
      <c r="E1" s="150"/>
      <c r="F1" s="150"/>
      <c r="G1" s="150"/>
      <c r="H1" s="150"/>
      <c r="K1" t="s">
        <v>3</v>
      </c>
      <c r="L1" t="s">
        <v>8</v>
      </c>
    </row>
    <row r="2" spans="1:20" x14ac:dyDescent="0.3">
      <c r="K2" t="s">
        <v>77</v>
      </c>
      <c r="L2">
        <v>50000</v>
      </c>
      <c r="N2" s="159" t="s">
        <v>516</v>
      </c>
      <c r="O2" s="159"/>
      <c r="P2" s="159"/>
      <c r="Q2" s="159"/>
      <c r="R2" s="159"/>
      <c r="S2" s="159"/>
      <c r="T2" s="159"/>
    </row>
    <row r="3" spans="1:20" x14ac:dyDescent="0.3">
      <c r="K3" t="s">
        <v>103</v>
      </c>
      <c r="L3">
        <v>82000</v>
      </c>
      <c r="N3" s="70" t="s">
        <v>15</v>
      </c>
      <c r="O3" s="114" t="s">
        <v>21</v>
      </c>
      <c r="P3" s="114" t="s">
        <v>53</v>
      </c>
      <c r="Q3" s="114" t="s">
        <v>25</v>
      </c>
      <c r="R3" s="45" t="s">
        <v>52</v>
      </c>
      <c r="S3" s="114" t="s">
        <v>27</v>
      </c>
      <c r="T3" s="115" t="s">
        <v>43</v>
      </c>
    </row>
    <row r="4" spans="1:20" x14ac:dyDescent="0.3">
      <c r="K4" t="s">
        <v>503</v>
      </c>
      <c r="L4">
        <v>80000</v>
      </c>
      <c r="N4" s="4">
        <v>250000</v>
      </c>
      <c r="O4" s="4">
        <v>172000</v>
      </c>
      <c r="P4">
        <v>300000</v>
      </c>
      <c r="Q4">
        <v>110000</v>
      </c>
      <c r="R4">
        <v>159000</v>
      </c>
      <c r="S4">
        <v>140000</v>
      </c>
      <c r="T4">
        <v>240000</v>
      </c>
    </row>
    <row r="5" spans="1:20" x14ac:dyDescent="0.3">
      <c r="K5" t="s">
        <v>343</v>
      </c>
      <c r="L5">
        <v>92000</v>
      </c>
      <c r="N5" s="3">
        <v>200000</v>
      </c>
      <c r="O5" s="3">
        <v>154000</v>
      </c>
      <c r="P5">
        <v>150000</v>
      </c>
      <c r="Q5">
        <v>105000</v>
      </c>
      <c r="R5">
        <v>95000</v>
      </c>
      <c r="S5">
        <v>124000</v>
      </c>
      <c r="T5">
        <v>85000</v>
      </c>
    </row>
    <row r="6" spans="1:20" x14ac:dyDescent="0.3">
      <c r="K6" t="s">
        <v>299</v>
      </c>
      <c r="L6">
        <v>45000</v>
      </c>
      <c r="N6" s="4">
        <v>160000</v>
      </c>
      <c r="O6" s="4">
        <v>135000</v>
      </c>
      <c r="P6">
        <v>115000</v>
      </c>
      <c r="Q6">
        <v>105000</v>
      </c>
      <c r="R6">
        <v>85000</v>
      </c>
      <c r="S6">
        <v>105000</v>
      </c>
      <c r="T6">
        <v>85000</v>
      </c>
    </row>
    <row r="7" spans="1:20" x14ac:dyDescent="0.3">
      <c r="K7" t="s">
        <v>72</v>
      </c>
      <c r="L7">
        <v>60000</v>
      </c>
      <c r="N7" s="3">
        <v>151872</v>
      </c>
      <c r="O7" s="3">
        <v>120000</v>
      </c>
      <c r="P7">
        <v>115000</v>
      </c>
      <c r="Q7">
        <v>100000</v>
      </c>
      <c r="R7">
        <v>81000</v>
      </c>
      <c r="S7">
        <v>103000</v>
      </c>
      <c r="T7">
        <v>85000</v>
      </c>
    </row>
    <row r="8" spans="1:20" x14ac:dyDescent="0.3">
      <c r="B8" s="151" t="s">
        <v>559</v>
      </c>
      <c r="C8" s="152"/>
      <c r="D8" s="152"/>
      <c r="E8" s="152"/>
      <c r="F8" s="152"/>
      <c r="G8" s="153"/>
      <c r="K8" t="s">
        <v>397</v>
      </c>
      <c r="L8">
        <v>46000</v>
      </c>
      <c r="N8" s="4">
        <v>150000</v>
      </c>
      <c r="O8" s="4">
        <v>110000</v>
      </c>
      <c r="P8">
        <v>110000</v>
      </c>
      <c r="Q8">
        <v>85000</v>
      </c>
      <c r="R8">
        <v>78000</v>
      </c>
      <c r="S8">
        <v>94000</v>
      </c>
      <c r="T8">
        <v>85000</v>
      </c>
    </row>
    <row r="9" spans="1:20" x14ac:dyDescent="0.3">
      <c r="B9" s="154"/>
      <c r="C9" s="155"/>
      <c r="D9" s="155"/>
      <c r="E9" s="155"/>
      <c r="F9" s="155"/>
      <c r="G9" s="156"/>
      <c r="K9" t="s">
        <v>191</v>
      </c>
      <c r="L9">
        <v>89000</v>
      </c>
      <c r="N9" s="3">
        <v>140000</v>
      </c>
      <c r="O9" s="3">
        <v>105000</v>
      </c>
      <c r="P9">
        <v>110000</v>
      </c>
      <c r="Q9">
        <v>85000</v>
      </c>
      <c r="R9">
        <v>76500</v>
      </c>
      <c r="S9">
        <v>93000</v>
      </c>
      <c r="T9">
        <v>85000</v>
      </c>
    </row>
    <row r="10" spans="1:20" x14ac:dyDescent="0.3">
      <c r="B10" s="112" t="s">
        <v>491</v>
      </c>
      <c r="C10" s="113" t="s">
        <v>427</v>
      </c>
      <c r="D10" s="92" t="s">
        <v>482</v>
      </c>
      <c r="E10" s="92" t="s">
        <v>483</v>
      </c>
      <c r="F10" s="92" t="s">
        <v>514</v>
      </c>
      <c r="G10" s="92" t="s">
        <v>515</v>
      </c>
      <c r="K10" t="s">
        <v>273</v>
      </c>
      <c r="L10">
        <v>120000</v>
      </c>
      <c r="N10" s="4">
        <v>130000</v>
      </c>
      <c r="O10" s="4">
        <v>102000</v>
      </c>
      <c r="P10">
        <v>106000</v>
      </c>
      <c r="Q10">
        <v>85000</v>
      </c>
      <c r="R10">
        <v>76000</v>
      </c>
      <c r="S10">
        <v>90000</v>
      </c>
      <c r="T10">
        <v>84700</v>
      </c>
    </row>
    <row r="11" spans="1:20" x14ac:dyDescent="0.3">
      <c r="B11" s="70" t="s">
        <v>15</v>
      </c>
      <c r="C11" s="37">
        <f>COUNTIF(Tabela5[[Position ]],B11)</f>
        <v>387</v>
      </c>
      <c r="D11" s="35">
        <f>AVERAGE(L815:L1207)</f>
        <v>73968.722646310431</v>
      </c>
      <c r="E11" s="35">
        <f>MEDIAN(L815:L1207)</f>
        <v>72000</v>
      </c>
      <c r="F11" s="30">
        <f>_xlfn.STDEV.P(L815:L1207)</f>
        <v>22969.679603245379</v>
      </c>
      <c r="G11" s="107">
        <f>_xlfn.VAR.P(L815:L1207)</f>
        <v>527606181.07574672</v>
      </c>
      <c r="K11" t="s">
        <v>21</v>
      </c>
      <c r="L11">
        <v>172000</v>
      </c>
      <c r="N11" s="3">
        <v>130000</v>
      </c>
      <c r="O11" s="3">
        <v>100000</v>
      </c>
      <c r="P11">
        <v>105000</v>
      </c>
      <c r="Q11">
        <v>84000</v>
      </c>
      <c r="R11">
        <v>76000</v>
      </c>
      <c r="S11">
        <v>90000</v>
      </c>
      <c r="T11">
        <v>80000</v>
      </c>
    </row>
    <row r="12" spans="1:20" x14ac:dyDescent="0.3">
      <c r="B12" s="114" t="s">
        <v>21</v>
      </c>
      <c r="C12" s="37">
        <f>COUNTIF(Tabela5[[Position ]],B12)</f>
        <v>174</v>
      </c>
      <c r="D12" s="35">
        <f>AVERAGE(L11:L184)</f>
        <v>69082.902298850575</v>
      </c>
      <c r="E12" s="35">
        <f>MEDIAN(L11:L184)</f>
        <v>70000</v>
      </c>
      <c r="F12" s="30">
        <f>_xlfn.STDEV.P(L11:L184)</f>
        <v>21462.177686925599</v>
      </c>
      <c r="G12" s="107">
        <f>_xlfn.VAR.P(L11:L184)</f>
        <v>460625071.06516713</v>
      </c>
      <c r="K12" t="s">
        <v>21</v>
      </c>
      <c r="L12">
        <v>154000</v>
      </c>
      <c r="N12" s="4">
        <v>120000</v>
      </c>
      <c r="O12" s="4">
        <v>100000</v>
      </c>
      <c r="P12">
        <v>100000</v>
      </c>
      <c r="Q12">
        <v>82500</v>
      </c>
      <c r="R12">
        <v>75000</v>
      </c>
      <c r="S12">
        <v>90000</v>
      </c>
      <c r="T12">
        <v>80000</v>
      </c>
    </row>
    <row r="13" spans="1:20" x14ac:dyDescent="0.3">
      <c r="B13" s="114" t="s">
        <v>53</v>
      </c>
      <c r="C13" s="37">
        <f>COUNTIF(Tabela5[[Position ]],B13)</f>
        <v>110</v>
      </c>
      <c r="D13" s="35">
        <f>AVERAGE(L254:L363)</f>
        <v>68897.272727272721</v>
      </c>
      <c r="E13" s="35">
        <f>MEDIAN(L254:L363)</f>
        <v>65000</v>
      </c>
      <c r="F13" s="30">
        <f>_xlfn.STDEV.P(L254:L363)</f>
        <v>30368.957563128082</v>
      </c>
      <c r="G13" s="107">
        <f>_xlfn.VAR.P(L254:L363)</f>
        <v>922273583.47107434</v>
      </c>
      <c r="K13" t="s">
        <v>21</v>
      </c>
      <c r="L13">
        <v>135000</v>
      </c>
      <c r="N13" s="3">
        <v>120000</v>
      </c>
      <c r="O13" s="3">
        <v>96000</v>
      </c>
      <c r="P13">
        <v>100000</v>
      </c>
      <c r="Q13">
        <v>80000</v>
      </c>
      <c r="R13">
        <v>75000</v>
      </c>
      <c r="S13">
        <v>90000</v>
      </c>
      <c r="T13">
        <v>80000</v>
      </c>
    </row>
    <row r="14" spans="1:20" x14ac:dyDescent="0.3">
      <c r="B14" s="114" t="s">
        <v>25</v>
      </c>
      <c r="C14" s="37">
        <f>COUNTIF(Tabela5[[Position ]],B14)</f>
        <v>88</v>
      </c>
      <c r="D14" s="35">
        <f>AVERAGE(L459:L550)</f>
        <v>64161.467391304344</v>
      </c>
      <c r="E14" s="35">
        <f>MEDIAN(L459:L550)</f>
        <v>65500</v>
      </c>
      <c r="F14" s="30">
        <f>_xlfn.STDEV.P(L459:L550)</f>
        <v>16104.724369933978</v>
      </c>
      <c r="G14" s="107">
        <f>_xlfn.VAR.P(L459:L550)</f>
        <v>259362147.03154537</v>
      </c>
      <c r="K14" t="s">
        <v>21</v>
      </c>
      <c r="L14">
        <v>120000</v>
      </c>
      <c r="N14" s="4">
        <v>120000</v>
      </c>
      <c r="O14" s="4">
        <v>95000</v>
      </c>
      <c r="P14">
        <v>100000</v>
      </c>
      <c r="Q14">
        <v>80000</v>
      </c>
      <c r="R14">
        <v>74400</v>
      </c>
      <c r="S14">
        <v>90000</v>
      </c>
      <c r="T14">
        <v>80000</v>
      </c>
    </row>
    <row r="15" spans="1:20" x14ac:dyDescent="0.3">
      <c r="B15" s="45" t="s">
        <v>52</v>
      </c>
      <c r="C15" s="37">
        <f>COUNTIF(Tabela5[[Position ]],B15)</f>
        <v>71</v>
      </c>
      <c r="D15" s="35">
        <f>AVERAGE(L722:L792)</f>
        <v>62116.901408450707</v>
      </c>
      <c r="E15" s="35">
        <f>MEDIAN(L722:L792)</f>
        <v>60000</v>
      </c>
      <c r="F15" s="30">
        <f>_xlfn.STDEV.P(L722:L792)</f>
        <v>16917.246687010062</v>
      </c>
      <c r="G15" s="107">
        <f>_xlfn.VAR.P(L722:L792)</f>
        <v>286193235.46915293</v>
      </c>
      <c r="K15" t="s">
        <v>21</v>
      </c>
      <c r="L15">
        <v>110000</v>
      </c>
      <c r="N15" s="3">
        <v>120000</v>
      </c>
      <c r="O15" s="3">
        <v>95000</v>
      </c>
      <c r="P15">
        <v>92000</v>
      </c>
      <c r="Q15">
        <v>80000</v>
      </c>
      <c r="R15">
        <v>70000</v>
      </c>
      <c r="S15">
        <v>85000</v>
      </c>
      <c r="T15">
        <v>80000</v>
      </c>
    </row>
    <row r="16" spans="1:20" x14ac:dyDescent="0.3">
      <c r="B16" s="114" t="s">
        <v>27</v>
      </c>
      <c r="C16" s="37">
        <f>COUNTIF(Tabela5[[Position ]],B16)</f>
        <v>57</v>
      </c>
      <c r="D16" s="35">
        <f>AVERAGE(L384:L441)</f>
        <v>75358.620689655174</v>
      </c>
      <c r="E16" s="35">
        <f>MEDIAN(L722:L792)</f>
        <v>60000</v>
      </c>
      <c r="F16" s="30">
        <f>_xlfn.STDEV.P(L722:L792)</f>
        <v>16917.246687010062</v>
      </c>
      <c r="G16" s="107">
        <f>_xlfn.VAR.P(L722:L792)</f>
        <v>286193235.46915293</v>
      </c>
      <c r="K16" t="s">
        <v>21</v>
      </c>
      <c r="L16">
        <v>105000</v>
      </c>
      <c r="N16" s="4">
        <v>120000</v>
      </c>
      <c r="O16" s="4">
        <v>95000</v>
      </c>
      <c r="P16">
        <v>90000</v>
      </c>
      <c r="Q16">
        <v>80000</v>
      </c>
      <c r="R16">
        <v>70000</v>
      </c>
      <c r="S16">
        <v>85000</v>
      </c>
      <c r="T16">
        <v>77000</v>
      </c>
    </row>
    <row r="17" spans="1:20" x14ac:dyDescent="0.3">
      <c r="B17" s="115" t="s">
        <v>43</v>
      </c>
      <c r="C17" s="108">
        <f>COUNTIF(Tabela5[[Position ]],B17)</f>
        <v>53</v>
      </c>
      <c r="D17" s="109">
        <f>AVERAGE(L616:L668)</f>
        <v>70800</v>
      </c>
      <c r="E17" s="109">
        <f>MEDIAN(L616:L668)</f>
        <v>66000</v>
      </c>
      <c r="F17" s="110">
        <f>_xlfn.STDEV.P(L616:L668)</f>
        <v>26016.402663457717</v>
      </c>
      <c r="G17" s="111">
        <f>_xlfn.VAR.P(L616:L668)</f>
        <v>676853207.5471698</v>
      </c>
      <c r="K17" t="s">
        <v>21</v>
      </c>
      <c r="L17">
        <v>102000</v>
      </c>
      <c r="N17" s="3">
        <v>120000</v>
      </c>
      <c r="O17" s="3">
        <v>93000</v>
      </c>
      <c r="P17">
        <v>87550</v>
      </c>
      <c r="Q17">
        <v>79000</v>
      </c>
      <c r="R17">
        <v>70000</v>
      </c>
      <c r="S17">
        <v>83000</v>
      </c>
      <c r="T17">
        <v>77000</v>
      </c>
    </row>
    <row r="18" spans="1:20" x14ac:dyDescent="0.3">
      <c r="A18" s="30"/>
      <c r="B18" s="28"/>
      <c r="C18" s="105"/>
      <c r="D18" s="35"/>
      <c r="E18" s="35"/>
      <c r="F18" s="30"/>
      <c r="G18" s="30"/>
      <c r="K18" t="s">
        <v>21</v>
      </c>
      <c r="L18">
        <v>100000</v>
      </c>
      <c r="N18" s="4">
        <v>115000</v>
      </c>
      <c r="O18" s="4">
        <v>93000</v>
      </c>
      <c r="P18">
        <v>87000</v>
      </c>
      <c r="Q18">
        <v>79000</v>
      </c>
      <c r="R18">
        <v>70000</v>
      </c>
      <c r="S18">
        <v>82000</v>
      </c>
      <c r="T18">
        <v>75000</v>
      </c>
    </row>
    <row r="19" spans="1:20" x14ac:dyDescent="0.3">
      <c r="A19" s="30"/>
      <c r="B19" s="28"/>
      <c r="C19" s="105"/>
      <c r="D19" s="35"/>
      <c r="E19" s="35"/>
      <c r="F19" s="30"/>
      <c r="G19" s="30"/>
      <c r="K19" t="s">
        <v>21</v>
      </c>
      <c r="L19">
        <v>100000</v>
      </c>
      <c r="N19" s="3">
        <v>113000</v>
      </c>
      <c r="O19" s="3">
        <v>90000</v>
      </c>
      <c r="P19">
        <v>85000</v>
      </c>
      <c r="Q19">
        <v>78000</v>
      </c>
      <c r="R19">
        <v>70000</v>
      </c>
      <c r="S19">
        <v>81000</v>
      </c>
      <c r="T19">
        <v>75000</v>
      </c>
    </row>
    <row r="20" spans="1:20" x14ac:dyDescent="0.3">
      <c r="A20" s="30"/>
      <c r="B20" s="106"/>
      <c r="C20" s="105"/>
      <c r="D20" s="35"/>
      <c r="E20" s="35"/>
      <c r="F20" s="30"/>
      <c r="G20" s="30"/>
      <c r="K20" t="s">
        <v>21</v>
      </c>
      <c r="L20">
        <v>96000</v>
      </c>
      <c r="N20" s="4">
        <v>110000</v>
      </c>
      <c r="O20" s="4">
        <v>90000</v>
      </c>
      <c r="P20">
        <v>85000</v>
      </c>
      <c r="Q20">
        <v>77250</v>
      </c>
      <c r="R20">
        <v>70000</v>
      </c>
      <c r="S20">
        <v>80000</v>
      </c>
      <c r="T20">
        <v>75000</v>
      </c>
    </row>
    <row r="21" spans="1:20" x14ac:dyDescent="0.3">
      <c r="A21" s="30"/>
      <c r="B21" s="106"/>
      <c r="C21" s="105"/>
      <c r="D21" s="35"/>
      <c r="E21" s="35"/>
      <c r="F21" s="30"/>
      <c r="G21" s="30"/>
      <c r="K21" t="s">
        <v>21</v>
      </c>
      <c r="L21">
        <v>95000</v>
      </c>
      <c r="N21" s="3">
        <v>110000</v>
      </c>
      <c r="O21" s="3">
        <v>90000</v>
      </c>
      <c r="P21">
        <v>85000</v>
      </c>
      <c r="Q21">
        <v>75000</v>
      </c>
      <c r="R21">
        <v>69200</v>
      </c>
      <c r="S21">
        <v>80000</v>
      </c>
      <c r="T21">
        <v>75000</v>
      </c>
    </row>
    <row r="22" spans="1:20" x14ac:dyDescent="0.3">
      <c r="A22" s="30"/>
      <c r="B22" s="106"/>
      <c r="C22" s="105"/>
      <c r="D22" s="35"/>
      <c r="E22" s="35"/>
      <c r="F22" s="30"/>
      <c r="G22" s="30"/>
      <c r="K22" t="s">
        <v>21</v>
      </c>
      <c r="L22">
        <v>95000</v>
      </c>
      <c r="N22" s="4">
        <v>108500</v>
      </c>
      <c r="O22" s="4">
        <v>90000</v>
      </c>
      <c r="P22">
        <v>85000</v>
      </c>
      <c r="Q22">
        <v>75000</v>
      </c>
      <c r="R22">
        <v>69000</v>
      </c>
      <c r="S22">
        <v>80000</v>
      </c>
      <c r="T22">
        <v>72000</v>
      </c>
    </row>
    <row r="23" spans="1:20" x14ac:dyDescent="0.3">
      <c r="A23" s="30"/>
      <c r="B23" s="106"/>
      <c r="C23" s="105"/>
      <c r="D23" s="35"/>
      <c r="E23" s="35"/>
      <c r="F23" s="30"/>
      <c r="G23" s="30"/>
      <c r="K23" t="s">
        <v>21</v>
      </c>
      <c r="L23">
        <v>95000</v>
      </c>
      <c r="N23" s="3">
        <v>108000</v>
      </c>
      <c r="O23" s="3">
        <v>90000</v>
      </c>
      <c r="P23">
        <v>82000</v>
      </c>
      <c r="Q23">
        <v>74000</v>
      </c>
      <c r="R23">
        <v>68000</v>
      </c>
      <c r="S23">
        <v>78000</v>
      </c>
      <c r="T23">
        <v>72000</v>
      </c>
    </row>
    <row r="24" spans="1:20" x14ac:dyDescent="0.3">
      <c r="A24" s="30"/>
      <c r="B24" s="30"/>
      <c r="C24" s="30"/>
      <c r="D24" s="30"/>
      <c r="E24" s="30"/>
      <c r="F24" s="30"/>
      <c r="G24" s="30"/>
      <c r="K24" t="s">
        <v>21</v>
      </c>
      <c r="L24">
        <v>93000</v>
      </c>
      <c r="N24" s="4">
        <v>107000</v>
      </c>
      <c r="O24" s="4">
        <v>90000</v>
      </c>
      <c r="P24">
        <v>81000</v>
      </c>
      <c r="Q24">
        <v>74000</v>
      </c>
      <c r="R24">
        <v>68000</v>
      </c>
      <c r="S24">
        <v>78000</v>
      </c>
      <c r="T24">
        <v>70800</v>
      </c>
    </row>
    <row r="25" spans="1:20" x14ac:dyDescent="0.3">
      <c r="K25" t="s">
        <v>21</v>
      </c>
      <c r="L25">
        <v>93000</v>
      </c>
      <c r="N25" s="3">
        <v>103000</v>
      </c>
      <c r="O25" s="3">
        <v>86000</v>
      </c>
      <c r="P25">
        <v>80000</v>
      </c>
      <c r="Q25">
        <v>74000</v>
      </c>
      <c r="R25">
        <v>68000</v>
      </c>
      <c r="S25">
        <v>77000</v>
      </c>
      <c r="T25">
        <v>70000</v>
      </c>
    </row>
    <row r="26" spans="1:20" x14ac:dyDescent="0.3">
      <c r="K26" t="s">
        <v>21</v>
      </c>
      <c r="L26">
        <v>90000</v>
      </c>
      <c r="N26" s="4">
        <v>100000</v>
      </c>
      <c r="O26" s="4">
        <v>85600</v>
      </c>
      <c r="P26">
        <v>80000</v>
      </c>
      <c r="Q26">
        <v>73500</v>
      </c>
      <c r="R26">
        <v>67500</v>
      </c>
      <c r="S26">
        <v>76000</v>
      </c>
      <c r="T26">
        <v>70000</v>
      </c>
    </row>
    <row r="27" spans="1:20" x14ac:dyDescent="0.3">
      <c r="K27" t="s">
        <v>21</v>
      </c>
      <c r="L27">
        <v>90000</v>
      </c>
      <c r="N27" s="3">
        <v>100000</v>
      </c>
      <c r="O27" s="3">
        <v>85000</v>
      </c>
      <c r="P27">
        <v>80000</v>
      </c>
      <c r="Q27">
        <v>73000</v>
      </c>
      <c r="R27">
        <v>65000</v>
      </c>
      <c r="S27">
        <v>75000</v>
      </c>
      <c r="T27">
        <v>70000</v>
      </c>
    </row>
    <row r="28" spans="1:20" x14ac:dyDescent="0.3">
      <c r="K28" t="s">
        <v>21</v>
      </c>
      <c r="L28">
        <v>90000</v>
      </c>
      <c r="N28" s="4">
        <v>100000</v>
      </c>
      <c r="O28" s="4">
        <v>85000</v>
      </c>
      <c r="P28">
        <v>80000</v>
      </c>
      <c r="Q28">
        <v>72000</v>
      </c>
      <c r="R28">
        <v>65000</v>
      </c>
      <c r="S28">
        <v>75000</v>
      </c>
      <c r="T28">
        <v>70000</v>
      </c>
    </row>
    <row r="29" spans="1:20" x14ac:dyDescent="0.3">
      <c r="K29" t="s">
        <v>21</v>
      </c>
      <c r="L29">
        <v>90000</v>
      </c>
      <c r="N29" s="3">
        <v>100000</v>
      </c>
      <c r="O29" s="3">
        <v>85000</v>
      </c>
      <c r="P29">
        <v>80000</v>
      </c>
      <c r="Q29">
        <v>72000</v>
      </c>
      <c r="R29">
        <v>65000</v>
      </c>
      <c r="S29">
        <v>75000</v>
      </c>
      <c r="T29">
        <v>68000</v>
      </c>
    </row>
    <row r="30" spans="1:20" x14ac:dyDescent="0.3">
      <c r="K30" t="s">
        <v>21</v>
      </c>
      <c r="L30">
        <v>90000</v>
      </c>
      <c r="N30" s="4">
        <v>100000</v>
      </c>
      <c r="O30" s="4">
        <v>85000</v>
      </c>
      <c r="P30">
        <v>80000</v>
      </c>
      <c r="Q30">
        <v>72000</v>
      </c>
      <c r="R30">
        <v>65000</v>
      </c>
      <c r="S30">
        <v>74000</v>
      </c>
      <c r="T30">
        <v>66000</v>
      </c>
    </row>
    <row r="31" spans="1:20" x14ac:dyDescent="0.3">
      <c r="K31" t="s">
        <v>21</v>
      </c>
      <c r="L31">
        <v>90000</v>
      </c>
      <c r="N31" s="3">
        <v>100000</v>
      </c>
      <c r="O31" s="3">
        <v>85000</v>
      </c>
      <c r="P31">
        <v>78000</v>
      </c>
      <c r="Q31">
        <v>71060</v>
      </c>
      <c r="R31">
        <v>64000</v>
      </c>
      <c r="S31">
        <v>72000</v>
      </c>
      <c r="T31">
        <v>65400</v>
      </c>
    </row>
    <row r="32" spans="1:20" x14ac:dyDescent="0.3">
      <c r="K32" t="s">
        <v>21</v>
      </c>
      <c r="L32">
        <v>86000</v>
      </c>
      <c r="N32" s="4">
        <v>100000</v>
      </c>
      <c r="O32" s="4">
        <v>83000</v>
      </c>
      <c r="P32">
        <v>78000</v>
      </c>
      <c r="Q32">
        <v>70000</v>
      </c>
      <c r="R32">
        <v>63000</v>
      </c>
      <c r="S32">
        <v>72000</v>
      </c>
      <c r="T32">
        <v>65000</v>
      </c>
    </row>
    <row r="33" spans="11:20" x14ac:dyDescent="0.3">
      <c r="K33" t="s">
        <v>21</v>
      </c>
      <c r="L33">
        <v>85600</v>
      </c>
      <c r="N33" s="3">
        <v>100000</v>
      </c>
      <c r="O33" s="3">
        <v>82000</v>
      </c>
      <c r="P33">
        <v>77500</v>
      </c>
      <c r="Q33">
        <v>70000</v>
      </c>
      <c r="R33">
        <v>62000</v>
      </c>
      <c r="S33">
        <v>72000</v>
      </c>
      <c r="T33">
        <v>65000</v>
      </c>
    </row>
    <row r="34" spans="11:20" x14ac:dyDescent="0.3">
      <c r="K34" t="s">
        <v>21</v>
      </c>
      <c r="L34">
        <v>85000</v>
      </c>
      <c r="N34" s="4">
        <v>100000</v>
      </c>
      <c r="O34" s="4">
        <v>82000</v>
      </c>
      <c r="P34">
        <v>77000</v>
      </c>
      <c r="Q34">
        <v>70000</v>
      </c>
      <c r="R34">
        <v>62000</v>
      </c>
      <c r="S34">
        <v>70200</v>
      </c>
      <c r="T34">
        <v>65000</v>
      </c>
    </row>
    <row r="35" spans="11:20" x14ac:dyDescent="0.3">
      <c r="K35" t="s">
        <v>21</v>
      </c>
      <c r="L35">
        <v>85000</v>
      </c>
      <c r="N35" s="3">
        <v>100000</v>
      </c>
      <c r="O35" s="3">
        <v>81900</v>
      </c>
      <c r="P35">
        <v>77000</v>
      </c>
      <c r="Q35">
        <v>70000</v>
      </c>
      <c r="R35">
        <v>61000</v>
      </c>
      <c r="S35">
        <v>70000</v>
      </c>
      <c r="T35">
        <v>65000</v>
      </c>
    </row>
    <row r="36" spans="11:20" x14ac:dyDescent="0.3">
      <c r="K36" t="s">
        <v>21</v>
      </c>
      <c r="L36">
        <v>85000</v>
      </c>
      <c r="N36" s="4">
        <v>100000</v>
      </c>
      <c r="O36" s="4">
        <v>81200</v>
      </c>
      <c r="P36">
        <v>76000</v>
      </c>
      <c r="Q36">
        <v>70000</v>
      </c>
      <c r="R36">
        <v>60000</v>
      </c>
      <c r="S36">
        <v>70000</v>
      </c>
      <c r="T36">
        <v>65000</v>
      </c>
    </row>
    <row r="37" spans="11:20" x14ac:dyDescent="0.3">
      <c r="K37" t="s">
        <v>21</v>
      </c>
      <c r="L37">
        <v>85000</v>
      </c>
      <c r="N37" s="3">
        <v>99000</v>
      </c>
      <c r="O37" s="3">
        <v>80000</v>
      </c>
      <c r="P37">
        <v>75000</v>
      </c>
      <c r="Q37">
        <v>70000</v>
      </c>
      <c r="R37">
        <v>60000</v>
      </c>
      <c r="S37">
        <v>70000</v>
      </c>
      <c r="T37">
        <v>65000</v>
      </c>
    </row>
    <row r="38" spans="11:20" x14ac:dyDescent="0.3">
      <c r="K38" t="s">
        <v>21</v>
      </c>
      <c r="L38">
        <v>85000</v>
      </c>
      <c r="N38" s="4">
        <v>99000</v>
      </c>
      <c r="O38" s="4">
        <v>80000</v>
      </c>
      <c r="P38">
        <v>75000</v>
      </c>
      <c r="Q38">
        <v>69000</v>
      </c>
      <c r="R38">
        <v>60000</v>
      </c>
      <c r="S38">
        <v>70000</v>
      </c>
      <c r="T38">
        <v>65000</v>
      </c>
    </row>
    <row r="39" spans="11:20" x14ac:dyDescent="0.3">
      <c r="K39" t="s">
        <v>21</v>
      </c>
      <c r="L39">
        <v>83000</v>
      </c>
      <c r="N39" s="3">
        <v>98000</v>
      </c>
      <c r="O39" s="3">
        <v>80000</v>
      </c>
      <c r="P39">
        <v>75000</v>
      </c>
      <c r="Q39">
        <v>68250</v>
      </c>
      <c r="R39">
        <v>60000</v>
      </c>
      <c r="S39">
        <v>70000</v>
      </c>
      <c r="T39">
        <v>65000</v>
      </c>
    </row>
    <row r="40" spans="11:20" x14ac:dyDescent="0.3">
      <c r="K40" t="s">
        <v>21</v>
      </c>
      <c r="L40">
        <v>82000</v>
      </c>
      <c r="N40" s="4">
        <v>95500</v>
      </c>
      <c r="O40" s="4">
        <v>80000</v>
      </c>
      <c r="P40">
        <v>75000</v>
      </c>
      <c r="Q40">
        <v>68000</v>
      </c>
      <c r="R40">
        <v>60000</v>
      </c>
      <c r="S40">
        <v>70000</v>
      </c>
      <c r="T40">
        <v>64000</v>
      </c>
    </row>
    <row r="41" spans="11:20" x14ac:dyDescent="0.3">
      <c r="K41" t="s">
        <v>21</v>
      </c>
      <c r="L41">
        <v>82000</v>
      </c>
      <c r="N41" s="3">
        <v>95000</v>
      </c>
      <c r="O41" s="3">
        <v>80000</v>
      </c>
      <c r="P41">
        <v>75000</v>
      </c>
      <c r="Q41">
        <v>68000</v>
      </c>
      <c r="R41">
        <v>60000</v>
      </c>
      <c r="S41">
        <v>70000</v>
      </c>
      <c r="T41">
        <v>63000</v>
      </c>
    </row>
    <row r="42" spans="11:20" x14ac:dyDescent="0.3">
      <c r="K42" t="s">
        <v>21</v>
      </c>
      <c r="L42">
        <v>81900</v>
      </c>
      <c r="N42" s="4">
        <v>95000</v>
      </c>
      <c r="O42" s="4">
        <v>80000</v>
      </c>
      <c r="P42">
        <v>73700</v>
      </c>
      <c r="Q42">
        <v>68000</v>
      </c>
      <c r="R42">
        <v>60000</v>
      </c>
      <c r="S42">
        <v>67500</v>
      </c>
      <c r="T42">
        <v>63000</v>
      </c>
    </row>
    <row r="43" spans="11:20" x14ac:dyDescent="0.3">
      <c r="K43" t="s">
        <v>21</v>
      </c>
      <c r="L43">
        <v>81200</v>
      </c>
      <c r="N43" s="3">
        <v>95000</v>
      </c>
      <c r="O43" s="3">
        <v>80000</v>
      </c>
      <c r="P43">
        <v>73000</v>
      </c>
      <c r="Q43">
        <v>66500</v>
      </c>
      <c r="R43">
        <v>60000</v>
      </c>
      <c r="S43">
        <v>67000</v>
      </c>
      <c r="T43">
        <v>62500</v>
      </c>
    </row>
    <row r="44" spans="11:20" x14ac:dyDescent="0.3">
      <c r="K44" t="s">
        <v>21</v>
      </c>
      <c r="L44">
        <v>80000</v>
      </c>
      <c r="N44" s="4">
        <v>95000</v>
      </c>
      <c r="O44" s="4">
        <v>80000</v>
      </c>
      <c r="P44">
        <v>72000</v>
      </c>
      <c r="Q44">
        <v>66000</v>
      </c>
      <c r="R44">
        <v>60000</v>
      </c>
      <c r="S44">
        <v>66000</v>
      </c>
      <c r="T44">
        <v>60000</v>
      </c>
    </row>
    <row r="45" spans="11:20" x14ac:dyDescent="0.3">
      <c r="K45" t="s">
        <v>21</v>
      </c>
      <c r="L45">
        <v>80000</v>
      </c>
      <c r="N45" s="3">
        <v>95000</v>
      </c>
      <c r="O45" s="3">
        <v>80000</v>
      </c>
      <c r="P45">
        <v>70000</v>
      </c>
      <c r="Q45">
        <v>66000</v>
      </c>
      <c r="R45">
        <v>60000</v>
      </c>
      <c r="S45">
        <v>65000</v>
      </c>
      <c r="T45">
        <v>60000</v>
      </c>
    </row>
    <row r="46" spans="11:20" x14ac:dyDescent="0.3">
      <c r="K46" t="s">
        <v>21</v>
      </c>
      <c r="L46">
        <v>80000</v>
      </c>
      <c r="N46" s="4">
        <v>95000</v>
      </c>
      <c r="O46" s="4">
        <v>80000</v>
      </c>
      <c r="P46">
        <v>70000</v>
      </c>
      <c r="Q46">
        <v>66000</v>
      </c>
      <c r="R46">
        <v>60000</v>
      </c>
      <c r="S46">
        <v>65000</v>
      </c>
      <c r="T46">
        <v>60000</v>
      </c>
    </row>
    <row r="47" spans="11:20" x14ac:dyDescent="0.3">
      <c r="K47" t="s">
        <v>21</v>
      </c>
      <c r="L47">
        <v>80000</v>
      </c>
      <c r="N47" s="3">
        <v>95000</v>
      </c>
      <c r="O47" s="3">
        <v>80000</v>
      </c>
      <c r="P47">
        <v>70000</v>
      </c>
      <c r="Q47">
        <v>66000</v>
      </c>
      <c r="R47">
        <v>60000</v>
      </c>
      <c r="S47">
        <v>65000</v>
      </c>
      <c r="T47">
        <v>58000</v>
      </c>
    </row>
    <row r="48" spans="11:20" x14ac:dyDescent="0.3">
      <c r="K48" t="s">
        <v>21</v>
      </c>
      <c r="L48">
        <v>80000</v>
      </c>
      <c r="N48" s="4">
        <v>95000</v>
      </c>
      <c r="O48" s="4">
        <v>78600</v>
      </c>
      <c r="P48">
        <v>70000</v>
      </c>
      <c r="Q48">
        <v>65000</v>
      </c>
      <c r="R48">
        <v>58000</v>
      </c>
      <c r="S48">
        <v>64800</v>
      </c>
      <c r="T48">
        <v>57000</v>
      </c>
    </row>
    <row r="49" spans="11:20" x14ac:dyDescent="0.3">
      <c r="K49" t="s">
        <v>21</v>
      </c>
      <c r="L49">
        <v>80000</v>
      </c>
      <c r="N49" s="3">
        <v>95000</v>
      </c>
      <c r="O49" s="3">
        <v>78000</v>
      </c>
      <c r="P49">
        <v>70000</v>
      </c>
      <c r="Q49">
        <v>65000</v>
      </c>
      <c r="R49">
        <v>58000</v>
      </c>
      <c r="S49">
        <v>62000</v>
      </c>
      <c r="T49">
        <v>55000</v>
      </c>
    </row>
    <row r="50" spans="11:20" x14ac:dyDescent="0.3">
      <c r="K50" t="s">
        <v>21</v>
      </c>
      <c r="L50">
        <v>80000</v>
      </c>
      <c r="N50" s="4">
        <v>95000</v>
      </c>
      <c r="O50" s="4">
        <v>78000</v>
      </c>
      <c r="P50">
        <v>70000</v>
      </c>
      <c r="Q50">
        <v>65000</v>
      </c>
      <c r="R50">
        <v>57000</v>
      </c>
      <c r="S50">
        <v>62000</v>
      </c>
      <c r="T50">
        <v>53000</v>
      </c>
    </row>
    <row r="51" spans="11:20" x14ac:dyDescent="0.3">
      <c r="K51" t="s">
        <v>21</v>
      </c>
      <c r="L51">
        <v>80000</v>
      </c>
      <c r="N51" s="3">
        <v>95000</v>
      </c>
      <c r="O51" s="3">
        <v>77000</v>
      </c>
      <c r="P51">
        <v>70000</v>
      </c>
      <c r="Q51">
        <v>64000</v>
      </c>
      <c r="R51">
        <v>57000</v>
      </c>
      <c r="S51">
        <v>62000</v>
      </c>
      <c r="T51">
        <v>50000</v>
      </c>
    </row>
    <row r="52" spans="11:20" x14ac:dyDescent="0.3">
      <c r="K52" t="s">
        <v>21</v>
      </c>
      <c r="L52">
        <v>80000</v>
      </c>
      <c r="N52" s="4">
        <v>95000</v>
      </c>
      <c r="O52" s="4">
        <v>77000</v>
      </c>
      <c r="P52">
        <v>68000</v>
      </c>
      <c r="Q52">
        <v>64000</v>
      </c>
      <c r="R52">
        <v>56700</v>
      </c>
      <c r="S52">
        <v>62000</v>
      </c>
      <c r="T52">
        <v>50000</v>
      </c>
    </row>
    <row r="53" spans="11:20" x14ac:dyDescent="0.3">
      <c r="K53" t="s">
        <v>21</v>
      </c>
      <c r="L53">
        <v>80000</v>
      </c>
      <c r="N53" s="3">
        <v>95000</v>
      </c>
      <c r="O53" s="3">
        <v>77000</v>
      </c>
      <c r="P53">
        <v>67000</v>
      </c>
      <c r="Q53">
        <v>63000</v>
      </c>
      <c r="R53">
        <v>55500</v>
      </c>
      <c r="S53">
        <v>60000</v>
      </c>
      <c r="T53">
        <v>50000</v>
      </c>
    </row>
    <row r="54" spans="11:20" x14ac:dyDescent="0.3">
      <c r="K54" t="s">
        <v>21</v>
      </c>
      <c r="L54">
        <v>80000</v>
      </c>
      <c r="N54" s="4">
        <v>95000</v>
      </c>
      <c r="O54" s="4">
        <v>75000</v>
      </c>
      <c r="P54">
        <v>67000</v>
      </c>
      <c r="Q54">
        <v>62000</v>
      </c>
      <c r="R54">
        <v>55000</v>
      </c>
      <c r="S54">
        <v>60000</v>
      </c>
      <c r="T54">
        <v>45000</v>
      </c>
    </row>
    <row r="55" spans="11:20" x14ac:dyDescent="0.3">
      <c r="K55" t="s">
        <v>21</v>
      </c>
      <c r="L55">
        <v>78600</v>
      </c>
      <c r="N55" s="3">
        <v>93000</v>
      </c>
      <c r="O55" s="3">
        <v>75000</v>
      </c>
      <c r="P55">
        <v>65000</v>
      </c>
      <c r="Q55">
        <v>62000</v>
      </c>
      <c r="R55">
        <v>55000</v>
      </c>
      <c r="S55">
        <v>60000</v>
      </c>
      <c r="T55">
        <v>44000</v>
      </c>
    </row>
    <row r="56" spans="11:20" x14ac:dyDescent="0.3">
      <c r="K56" t="s">
        <v>21</v>
      </c>
      <c r="L56">
        <v>78000</v>
      </c>
      <c r="N56" s="4">
        <v>93000</v>
      </c>
      <c r="O56" s="4">
        <v>75000</v>
      </c>
      <c r="P56">
        <v>65000</v>
      </c>
      <c r="Q56">
        <v>60000</v>
      </c>
      <c r="R56">
        <v>55000</v>
      </c>
      <c r="S56">
        <v>58800</v>
      </c>
      <c r="T56">
        <v>40000</v>
      </c>
    </row>
    <row r="57" spans="11:20" x14ac:dyDescent="0.3">
      <c r="K57" t="s">
        <v>21</v>
      </c>
      <c r="L57">
        <v>78000</v>
      </c>
      <c r="N57" s="3">
        <v>92500</v>
      </c>
      <c r="O57" s="3">
        <v>75000</v>
      </c>
      <c r="P57">
        <v>65000</v>
      </c>
      <c r="Q57">
        <v>60000</v>
      </c>
      <c r="R57">
        <v>55000</v>
      </c>
      <c r="S57">
        <v>55000</v>
      </c>
    </row>
    <row r="58" spans="11:20" x14ac:dyDescent="0.3">
      <c r="K58" t="s">
        <v>21</v>
      </c>
      <c r="L58">
        <v>77000</v>
      </c>
      <c r="N58" s="4">
        <v>92000</v>
      </c>
      <c r="O58" s="4">
        <v>75000</v>
      </c>
      <c r="P58">
        <v>65000</v>
      </c>
      <c r="Q58">
        <v>60000</v>
      </c>
      <c r="R58">
        <v>54500</v>
      </c>
      <c r="S58">
        <v>52500</v>
      </c>
    </row>
    <row r="59" spans="11:20" x14ac:dyDescent="0.3">
      <c r="K59" t="s">
        <v>21</v>
      </c>
      <c r="L59">
        <v>77000</v>
      </c>
      <c r="N59" s="3">
        <v>91000</v>
      </c>
      <c r="O59" s="3">
        <v>75000</v>
      </c>
      <c r="P59">
        <v>65000</v>
      </c>
      <c r="Q59">
        <v>60000</v>
      </c>
      <c r="R59">
        <v>54000</v>
      </c>
      <c r="S59">
        <v>37000</v>
      </c>
    </row>
    <row r="60" spans="11:20" x14ac:dyDescent="0.3">
      <c r="K60" t="s">
        <v>21</v>
      </c>
      <c r="L60">
        <v>77000</v>
      </c>
      <c r="N60" s="4">
        <v>90000</v>
      </c>
      <c r="O60" s="4">
        <v>75000</v>
      </c>
      <c r="P60">
        <v>65000</v>
      </c>
      <c r="Q60">
        <v>60000</v>
      </c>
      <c r="R60">
        <v>54000</v>
      </c>
      <c r="S60">
        <v>30000</v>
      </c>
    </row>
    <row r="61" spans="11:20" x14ac:dyDescent="0.3">
      <c r="K61" t="s">
        <v>21</v>
      </c>
      <c r="L61">
        <v>75000</v>
      </c>
      <c r="N61" s="3">
        <v>90000</v>
      </c>
      <c r="O61" s="3">
        <v>75000</v>
      </c>
      <c r="P61">
        <v>65000</v>
      </c>
      <c r="Q61">
        <v>58000</v>
      </c>
      <c r="R61">
        <v>54000</v>
      </c>
    </row>
    <row r="62" spans="11:20" x14ac:dyDescent="0.3">
      <c r="K62" t="s">
        <v>21</v>
      </c>
      <c r="L62">
        <v>75000</v>
      </c>
      <c r="N62" s="4">
        <v>90000</v>
      </c>
      <c r="O62" s="4">
        <v>75000</v>
      </c>
      <c r="P62">
        <v>63000</v>
      </c>
      <c r="Q62">
        <v>58000</v>
      </c>
      <c r="R62">
        <v>53000</v>
      </c>
    </row>
    <row r="63" spans="11:20" x14ac:dyDescent="0.3">
      <c r="K63" t="s">
        <v>21</v>
      </c>
      <c r="L63">
        <v>75000</v>
      </c>
      <c r="N63" s="3">
        <v>90000</v>
      </c>
      <c r="O63" s="3">
        <v>75000</v>
      </c>
      <c r="P63">
        <v>62000</v>
      </c>
      <c r="Q63">
        <v>57600</v>
      </c>
      <c r="R63">
        <v>52000</v>
      </c>
    </row>
    <row r="64" spans="11:20" x14ac:dyDescent="0.3">
      <c r="K64" t="s">
        <v>21</v>
      </c>
      <c r="L64">
        <v>75000</v>
      </c>
      <c r="N64" s="4">
        <v>90000</v>
      </c>
      <c r="O64" s="4">
        <v>75000</v>
      </c>
      <c r="P64">
        <v>62000</v>
      </c>
      <c r="Q64">
        <v>57000</v>
      </c>
      <c r="R64">
        <v>50000</v>
      </c>
    </row>
    <row r="65" spans="11:18" x14ac:dyDescent="0.3">
      <c r="K65" t="s">
        <v>21</v>
      </c>
      <c r="L65">
        <v>75000</v>
      </c>
      <c r="N65" s="3">
        <v>90000</v>
      </c>
      <c r="O65" s="3">
        <v>75000</v>
      </c>
      <c r="P65">
        <v>61500</v>
      </c>
      <c r="Q65">
        <v>57000</v>
      </c>
      <c r="R65">
        <v>50000</v>
      </c>
    </row>
    <row r="66" spans="11:18" x14ac:dyDescent="0.3">
      <c r="K66" t="s">
        <v>21</v>
      </c>
      <c r="L66">
        <v>75000</v>
      </c>
      <c r="N66" s="4">
        <v>90000</v>
      </c>
      <c r="O66" s="4">
        <v>75000</v>
      </c>
      <c r="P66">
        <v>60000</v>
      </c>
      <c r="Q66">
        <v>55000</v>
      </c>
      <c r="R66">
        <v>50000</v>
      </c>
    </row>
    <row r="67" spans="11:18" x14ac:dyDescent="0.3">
      <c r="K67" t="s">
        <v>21</v>
      </c>
      <c r="L67">
        <v>75000</v>
      </c>
      <c r="N67" s="3">
        <v>90000</v>
      </c>
      <c r="O67" s="3">
        <v>75000</v>
      </c>
      <c r="P67">
        <v>60000</v>
      </c>
      <c r="Q67">
        <v>55000</v>
      </c>
      <c r="R67">
        <v>48000</v>
      </c>
    </row>
    <row r="68" spans="11:18" x14ac:dyDescent="0.3">
      <c r="K68" t="s">
        <v>21</v>
      </c>
      <c r="L68">
        <v>75000</v>
      </c>
      <c r="N68" s="4">
        <v>90000</v>
      </c>
      <c r="O68" s="4">
        <v>74000</v>
      </c>
      <c r="P68">
        <v>60000</v>
      </c>
      <c r="Q68">
        <v>55000</v>
      </c>
      <c r="R68">
        <v>46000</v>
      </c>
    </row>
    <row r="69" spans="11:18" x14ac:dyDescent="0.3">
      <c r="K69" t="s">
        <v>21</v>
      </c>
      <c r="L69">
        <v>75000</v>
      </c>
      <c r="N69" s="3">
        <v>90000</v>
      </c>
      <c r="O69" s="3">
        <v>74000</v>
      </c>
      <c r="P69">
        <v>60000</v>
      </c>
      <c r="Q69">
        <v>55000</v>
      </c>
      <c r="R69">
        <v>45000</v>
      </c>
    </row>
    <row r="70" spans="11:18" x14ac:dyDescent="0.3">
      <c r="K70" t="s">
        <v>21</v>
      </c>
      <c r="L70">
        <v>75000</v>
      </c>
      <c r="N70" s="4">
        <v>90000</v>
      </c>
      <c r="O70" s="4">
        <v>73000</v>
      </c>
      <c r="P70">
        <v>60000</v>
      </c>
      <c r="Q70">
        <v>54500</v>
      </c>
      <c r="R70">
        <v>45000</v>
      </c>
    </row>
    <row r="71" spans="11:18" x14ac:dyDescent="0.3">
      <c r="K71" t="s">
        <v>21</v>
      </c>
      <c r="L71">
        <v>75000</v>
      </c>
      <c r="N71" s="3">
        <v>90000</v>
      </c>
      <c r="O71" s="3">
        <v>73000</v>
      </c>
      <c r="P71">
        <v>60000</v>
      </c>
      <c r="Q71">
        <v>54000</v>
      </c>
      <c r="R71">
        <v>42000</v>
      </c>
    </row>
    <row r="72" spans="11:18" x14ac:dyDescent="0.3">
      <c r="K72" t="s">
        <v>21</v>
      </c>
      <c r="L72">
        <v>75000</v>
      </c>
      <c r="N72" s="4">
        <v>90000</v>
      </c>
      <c r="O72" s="4">
        <v>72000</v>
      </c>
      <c r="P72">
        <v>60000</v>
      </c>
      <c r="Q72">
        <v>54000</v>
      </c>
      <c r="R72">
        <v>35000</v>
      </c>
    </row>
    <row r="73" spans="11:18" x14ac:dyDescent="0.3">
      <c r="K73" t="s">
        <v>21</v>
      </c>
      <c r="L73">
        <v>75000</v>
      </c>
      <c r="N73" s="3">
        <v>90000</v>
      </c>
      <c r="O73" s="3">
        <v>72000</v>
      </c>
      <c r="P73">
        <v>60000</v>
      </c>
      <c r="Q73">
        <v>54000</v>
      </c>
      <c r="R73">
        <v>32000</v>
      </c>
    </row>
    <row r="74" spans="11:18" x14ac:dyDescent="0.3">
      <c r="K74" t="s">
        <v>21</v>
      </c>
      <c r="L74">
        <v>75000</v>
      </c>
      <c r="N74" s="4">
        <v>90000</v>
      </c>
      <c r="O74" s="4">
        <v>72000</v>
      </c>
      <c r="P74">
        <v>59000</v>
      </c>
      <c r="Q74">
        <v>50000</v>
      </c>
      <c r="R74">
        <v>11000</v>
      </c>
    </row>
    <row r="75" spans="11:18" x14ac:dyDescent="0.3">
      <c r="K75" t="s">
        <v>21</v>
      </c>
      <c r="L75">
        <v>74000</v>
      </c>
      <c r="N75" s="3">
        <v>89570</v>
      </c>
      <c r="O75" s="3">
        <v>72000</v>
      </c>
      <c r="P75">
        <v>58000</v>
      </c>
      <c r="Q75">
        <v>50000</v>
      </c>
    </row>
    <row r="76" spans="11:18" x14ac:dyDescent="0.3">
      <c r="K76" t="s">
        <v>21</v>
      </c>
      <c r="L76">
        <v>74000</v>
      </c>
      <c r="N76" s="4">
        <v>88000</v>
      </c>
      <c r="O76" s="4">
        <v>72000</v>
      </c>
      <c r="P76">
        <v>58000</v>
      </c>
      <c r="Q76">
        <v>48000</v>
      </c>
    </row>
    <row r="77" spans="11:18" x14ac:dyDescent="0.3">
      <c r="K77" t="s">
        <v>21</v>
      </c>
      <c r="L77">
        <v>73000</v>
      </c>
      <c r="N77" s="3">
        <v>88000</v>
      </c>
      <c r="O77" s="3">
        <v>72000</v>
      </c>
      <c r="P77">
        <v>57600</v>
      </c>
      <c r="Q77">
        <v>48000</v>
      </c>
    </row>
    <row r="78" spans="11:18" x14ac:dyDescent="0.3">
      <c r="K78" t="s">
        <v>21</v>
      </c>
      <c r="L78">
        <v>73000</v>
      </c>
      <c r="N78" s="4">
        <v>88000</v>
      </c>
      <c r="O78" s="4">
        <v>72000</v>
      </c>
      <c r="P78">
        <v>57000</v>
      </c>
      <c r="Q78">
        <v>47745</v>
      </c>
    </row>
    <row r="79" spans="11:18" x14ac:dyDescent="0.3">
      <c r="K79" t="s">
        <v>21</v>
      </c>
      <c r="L79">
        <v>72000</v>
      </c>
      <c r="N79" s="3">
        <v>88000</v>
      </c>
      <c r="O79" s="3">
        <v>72000</v>
      </c>
      <c r="P79">
        <v>57000</v>
      </c>
      <c r="Q79">
        <v>47000</v>
      </c>
    </row>
    <row r="80" spans="11:18" x14ac:dyDescent="0.3">
      <c r="K80" t="s">
        <v>21</v>
      </c>
      <c r="L80">
        <v>72000</v>
      </c>
      <c r="N80" s="4">
        <v>87000</v>
      </c>
      <c r="O80" s="4">
        <v>70000</v>
      </c>
      <c r="P80">
        <v>56000</v>
      </c>
      <c r="Q80">
        <v>45600</v>
      </c>
    </row>
    <row r="81" spans="11:17" x14ac:dyDescent="0.3">
      <c r="K81" t="s">
        <v>21</v>
      </c>
      <c r="L81">
        <v>72000</v>
      </c>
      <c r="N81" s="3">
        <v>86000</v>
      </c>
      <c r="O81" s="3">
        <v>70000</v>
      </c>
      <c r="P81">
        <v>55200</v>
      </c>
      <c r="Q81">
        <v>45000</v>
      </c>
    </row>
    <row r="82" spans="11:17" x14ac:dyDescent="0.3">
      <c r="K82" t="s">
        <v>21</v>
      </c>
      <c r="L82">
        <v>72000</v>
      </c>
      <c r="N82" s="4">
        <v>85000</v>
      </c>
      <c r="O82" s="4">
        <v>70000</v>
      </c>
      <c r="P82">
        <v>55000</v>
      </c>
      <c r="Q82">
        <v>45000</v>
      </c>
    </row>
    <row r="83" spans="11:17" x14ac:dyDescent="0.3">
      <c r="K83" t="s">
        <v>21</v>
      </c>
      <c r="L83">
        <v>72000</v>
      </c>
      <c r="N83" s="3">
        <v>85000</v>
      </c>
      <c r="O83" s="3">
        <v>70000</v>
      </c>
      <c r="P83">
        <v>55000</v>
      </c>
      <c r="Q83">
        <v>44000</v>
      </c>
    </row>
    <row r="84" spans="11:17" x14ac:dyDescent="0.3">
      <c r="K84" t="s">
        <v>21</v>
      </c>
      <c r="L84">
        <v>72000</v>
      </c>
      <c r="N84" s="4">
        <v>85000</v>
      </c>
      <c r="O84" s="4">
        <v>70000</v>
      </c>
      <c r="P84">
        <v>55000</v>
      </c>
      <c r="Q84">
        <v>43000</v>
      </c>
    </row>
    <row r="85" spans="11:17" x14ac:dyDescent="0.3">
      <c r="K85" t="s">
        <v>21</v>
      </c>
      <c r="L85">
        <v>72000</v>
      </c>
      <c r="N85" s="3">
        <v>85000</v>
      </c>
      <c r="O85" s="3">
        <v>70000</v>
      </c>
      <c r="P85">
        <v>55000</v>
      </c>
      <c r="Q85">
        <v>40800</v>
      </c>
    </row>
    <row r="86" spans="11:17" x14ac:dyDescent="0.3">
      <c r="K86" t="s">
        <v>21</v>
      </c>
      <c r="L86">
        <v>72000</v>
      </c>
      <c r="N86" s="4">
        <v>85000</v>
      </c>
      <c r="O86" s="4">
        <v>70000</v>
      </c>
      <c r="P86">
        <v>54000</v>
      </c>
      <c r="Q86">
        <v>40000</v>
      </c>
    </row>
    <row r="87" spans="11:17" x14ac:dyDescent="0.3">
      <c r="K87" t="s">
        <v>21</v>
      </c>
      <c r="L87">
        <v>70000</v>
      </c>
      <c r="N87" s="3">
        <v>85000</v>
      </c>
      <c r="O87" s="3">
        <v>70000</v>
      </c>
      <c r="P87">
        <v>54000</v>
      </c>
      <c r="Q87">
        <v>38350</v>
      </c>
    </row>
    <row r="88" spans="11:17" x14ac:dyDescent="0.3">
      <c r="K88" t="s">
        <v>21</v>
      </c>
      <c r="L88">
        <v>70000</v>
      </c>
      <c r="N88" s="4">
        <v>85000</v>
      </c>
      <c r="O88" s="4">
        <v>70000</v>
      </c>
      <c r="P88">
        <v>52500</v>
      </c>
      <c r="Q88">
        <v>37500</v>
      </c>
    </row>
    <row r="89" spans="11:17" x14ac:dyDescent="0.3">
      <c r="K89" t="s">
        <v>21</v>
      </c>
      <c r="L89">
        <v>70000</v>
      </c>
      <c r="N89" s="3">
        <v>84000</v>
      </c>
      <c r="O89" s="3">
        <v>70000</v>
      </c>
      <c r="P89">
        <v>52000</v>
      </c>
      <c r="Q89">
        <v>33000</v>
      </c>
    </row>
    <row r="90" spans="11:17" x14ac:dyDescent="0.3">
      <c r="K90" t="s">
        <v>21</v>
      </c>
      <c r="L90">
        <v>70000</v>
      </c>
      <c r="N90" s="4">
        <v>84000</v>
      </c>
      <c r="O90" s="4">
        <v>70000</v>
      </c>
      <c r="P90">
        <v>51000</v>
      </c>
      <c r="Q90">
        <v>24000</v>
      </c>
    </row>
    <row r="91" spans="11:17" x14ac:dyDescent="0.3">
      <c r="K91" t="s">
        <v>21</v>
      </c>
      <c r="L91">
        <v>70000</v>
      </c>
      <c r="N91" s="3">
        <v>83000</v>
      </c>
      <c r="O91" s="3">
        <v>70000</v>
      </c>
      <c r="P91">
        <v>51000</v>
      </c>
      <c r="Q91">
        <v>18700</v>
      </c>
    </row>
    <row r="92" spans="11:17" x14ac:dyDescent="0.3">
      <c r="K92" t="s">
        <v>21</v>
      </c>
      <c r="L92">
        <v>70000</v>
      </c>
      <c r="N92" s="4">
        <v>83000</v>
      </c>
      <c r="O92" s="4">
        <v>70000</v>
      </c>
      <c r="P92">
        <v>50500</v>
      </c>
    </row>
    <row r="93" spans="11:17" x14ac:dyDescent="0.3">
      <c r="K93" t="s">
        <v>21</v>
      </c>
      <c r="L93">
        <v>70000</v>
      </c>
      <c r="N93" s="3">
        <v>83000</v>
      </c>
      <c r="O93" s="3">
        <v>70000</v>
      </c>
      <c r="P93">
        <v>50000</v>
      </c>
    </row>
    <row r="94" spans="11:17" x14ac:dyDescent="0.3">
      <c r="K94" t="s">
        <v>21</v>
      </c>
      <c r="L94">
        <v>70000</v>
      </c>
      <c r="N94" s="4">
        <v>83000</v>
      </c>
      <c r="O94" s="4">
        <v>69000</v>
      </c>
      <c r="P94">
        <v>50000</v>
      </c>
    </row>
    <row r="95" spans="11:17" x14ac:dyDescent="0.3">
      <c r="K95" t="s">
        <v>21</v>
      </c>
      <c r="L95">
        <v>70000</v>
      </c>
      <c r="N95" s="3">
        <v>83000</v>
      </c>
      <c r="O95" s="3">
        <v>69000</v>
      </c>
      <c r="P95">
        <v>50000</v>
      </c>
    </row>
    <row r="96" spans="11:17" x14ac:dyDescent="0.3">
      <c r="K96" t="s">
        <v>21</v>
      </c>
      <c r="L96">
        <v>70000</v>
      </c>
      <c r="N96" s="4">
        <v>82000</v>
      </c>
      <c r="O96" s="4">
        <v>68000</v>
      </c>
      <c r="P96">
        <v>50000</v>
      </c>
    </row>
    <row r="97" spans="11:16" x14ac:dyDescent="0.3">
      <c r="K97" t="s">
        <v>21</v>
      </c>
      <c r="L97">
        <v>70000</v>
      </c>
      <c r="N97" s="3">
        <v>82000</v>
      </c>
      <c r="O97" s="3">
        <v>68000</v>
      </c>
      <c r="P97">
        <v>49850</v>
      </c>
    </row>
    <row r="98" spans="11:16" x14ac:dyDescent="0.3">
      <c r="K98" t="s">
        <v>21</v>
      </c>
      <c r="L98">
        <v>70000</v>
      </c>
      <c r="N98" s="4">
        <v>82000</v>
      </c>
      <c r="O98" s="4">
        <v>67473</v>
      </c>
      <c r="P98">
        <v>48000</v>
      </c>
    </row>
    <row r="99" spans="11:16" x14ac:dyDescent="0.3">
      <c r="K99" t="s">
        <v>21</v>
      </c>
      <c r="L99">
        <v>70000</v>
      </c>
      <c r="N99" s="3">
        <v>81500</v>
      </c>
      <c r="O99" s="3">
        <v>67000</v>
      </c>
      <c r="P99">
        <v>48000</v>
      </c>
    </row>
    <row r="100" spans="11:16" x14ac:dyDescent="0.3">
      <c r="K100" t="s">
        <v>21</v>
      </c>
      <c r="L100">
        <v>70000</v>
      </c>
      <c r="N100" s="4">
        <v>81000</v>
      </c>
      <c r="O100" s="4">
        <v>67000</v>
      </c>
      <c r="P100">
        <v>48000</v>
      </c>
    </row>
    <row r="101" spans="11:16" x14ac:dyDescent="0.3">
      <c r="K101" t="s">
        <v>21</v>
      </c>
      <c r="L101">
        <v>69000</v>
      </c>
      <c r="N101" s="3">
        <v>80000</v>
      </c>
      <c r="O101" s="3">
        <v>66000</v>
      </c>
      <c r="P101">
        <v>48000</v>
      </c>
    </row>
    <row r="102" spans="11:16" x14ac:dyDescent="0.3">
      <c r="K102" t="s">
        <v>21</v>
      </c>
      <c r="L102">
        <v>69000</v>
      </c>
      <c r="N102" s="4">
        <v>80000</v>
      </c>
      <c r="O102" s="4">
        <v>66000</v>
      </c>
      <c r="P102">
        <v>47000</v>
      </c>
    </row>
    <row r="103" spans="11:16" x14ac:dyDescent="0.3">
      <c r="K103" t="s">
        <v>21</v>
      </c>
      <c r="L103">
        <v>68000</v>
      </c>
      <c r="N103" s="3">
        <v>80000</v>
      </c>
      <c r="O103" s="3">
        <v>66000</v>
      </c>
      <c r="P103">
        <v>45000</v>
      </c>
    </row>
    <row r="104" spans="11:16" x14ac:dyDescent="0.3">
      <c r="K104" t="s">
        <v>21</v>
      </c>
      <c r="L104">
        <v>68000</v>
      </c>
      <c r="N104" s="4">
        <v>80000</v>
      </c>
      <c r="O104" s="4">
        <v>66000</v>
      </c>
      <c r="P104">
        <v>42000</v>
      </c>
    </row>
    <row r="105" spans="11:16" x14ac:dyDescent="0.3">
      <c r="K105" t="s">
        <v>21</v>
      </c>
      <c r="L105">
        <v>67473</v>
      </c>
      <c r="N105" s="3">
        <v>80000</v>
      </c>
      <c r="O105" s="3">
        <v>66000</v>
      </c>
      <c r="P105">
        <v>42000</v>
      </c>
    </row>
    <row r="106" spans="11:16" x14ac:dyDescent="0.3">
      <c r="K106" t="s">
        <v>21</v>
      </c>
      <c r="L106">
        <v>67000</v>
      </c>
      <c r="N106" s="4">
        <v>80000</v>
      </c>
      <c r="O106" s="4">
        <v>65600</v>
      </c>
      <c r="P106">
        <v>40000</v>
      </c>
    </row>
    <row r="107" spans="11:16" x14ac:dyDescent="0.3">
      <c r="K107" t="s">
        <v>21</v>
      </c>
      <c r="L107">
        <v>67000</v>
      </c>
      <c r="N107" s="3">
        <v>80000</v>
      </c>
      <c r="O107" s="3">
        <v>65000</v>
      </c>
      <c r="P107">
        <v>38000</v>
      </c>
    </row>
    <row r="108" spans="11:16" x14ac:dyDescent="0.3">
      <c r="K108" t="s">
        <v>21</v>
      </c>
      <c r="L108">
        <v>66000</v>
      </c>
      <c r="N108" s="4">
        <v>80000</v>
      </c>
      <c r="O108" s="4">
        <v>65000</v>
      </c>
      <c r="P108">
        <v>37500</v>
      </c>
    </row>
    <row r="109" spans="11:16" x14ac:dyDescent="0.3">
      <c r="K109" t="s">
        <v>21</v>
      </c>
      <c r="L109">
        <v>66000</v>
      </c>
      <c r="N109" s="3">
        <v>80000</v>
      </c>
      <c r="O109" s="3">
        <v>65000</v>
      </c>
      <c r="P109">
        <v>32000</v>
      </c>
    </row>
    <row r="110" spans="11:16" x14ac:dyDescent="0.3">
      <c r="K110" t="s">
        <v>21</v>
      </c>
      <c r="L110">
        <v>66000</v>
      </c>
      <c r="N110" s="4">
        <v>80000</v>
      </c>
      <c r="O110" s="4">
        <v>65000</v>
      </c>
      <c r="P110">
        <v>25300</v>
      </c>
    </row>
    <row r="111" spans="11:16" x14ac:dyDescent="0.3">
      <c r="K111" t="s">
        <v>21</v>
      </c>
      <c r="L111">
        <v>66000</v>
      </c>
      <c r="N111" s="3">
        <v>80000</v>
      </c>
      <c r="O111" s="3">
        <v>65000</v>
      </c>
      <c r="P111">
        <v>22000</v>
      </c>
    </row>
    <row r="112" spans="11:16" x14ac:dyDescent="0.3">
      <c r="K112" t="s">
        <v>21</v>
      </c>
      <c r="L112">
        <v>66000</v>
      </c>
      <c r="N112" s="4">
        <v>80000</v>
      </c>
      <c r="O112" s="4">
        <v>65000</v>
      </c>
      <c r="P112">
        <v>20000</v>
      </c>
    </row>
    <row r="113" spans="11:16" x14ac:dyDescent="0.3">
      <c r="K113" t="s">
        <v>21</v>
      </c>
      <c r="L113">
        <v>65600</v>
      </c>
      <c r="N113" s="3">
        <v>80000</v>
      </c>
      <c r="O113" s="3">
        <v>65000</v>
      </c>
      <c r="P113">
        <v>20000</v>
      </c>
    </row>
    <row r="114" spans="11:16" x14ac:dyDescent="0.3">
      <c r="K114" t="s">
        <v>21</v>
      </c>
      <c r="L114">
        <v>65000</v>
      </c>
      <c r="N114" s="4">
        <v>80000</v>
      </c>
      <c r="O114" s="4">
        <v>65000</v>
      </c>
    </row>
    <row r="115" spans="11:16" x14ac:dyDescent="0.3">
      <c r="K115" t="s">
        <v>21</v>
      </c>
      <c r="L115">
        <v>65000</v>
      </c>
      <c r="N115" s="3">
        <v>80000</v>
      </c>
      <c r="O115" s="3">
        <v>65000</v>
      </c>
    </row>
    <row r="116" spans="11:16" x14ac:dyDescent="0.3">
      <c r="K116" t="s">
        <v>21</v>
      </c>
      <c r="L116">
        <v>65000</v>
      </c>
      <c r="N116" s="4">
        <v>80000</v>
      </c>
      <c r="O116" s="4">
        <v>65000</v>
      </c>
    </row>
    <row r="117" spans="11:16" x14ac:dyDescent="0.3">
      <c r="K117" t="s">
        <v>21</v>
      </c>
      <c r="L117">
        <v>65000</v>
      </c>
      <c r="N117" s="3">
        <v>80000</v>
      </c>
      <c r="O117" s="3">
        <v>65000</v>
      </c>
    </row>
    <row r="118" spans="11:16" x14ac:dyDescent="0.3">
      <c r="K118" t="s">
        <v>21</v>
      </c>
      <c r="L118">
        <v>65000</v>
      </c>
      <c r="N118" s="4">
        <v>80000</v>
      </c>
      <c r="O118" s="4">
        <v>65000</v>
      </c>
    </row>
    <row r="119" spans="11:16" x14ac:dyDescent="0.3">
      <c r="K119" t="s">
        <v>21</v>
      </c>
      <c r="L119">
        <v>65000</v>
      </c>
      <c r="N119" s="3">
        <v>80000</v>
      </c>
      <c r="O119" s="3">
        <v>65000</v>
      </c>
    </row>
    <row r="120" spans="11:16" x14ac:dyDescent="0.3">
      <c r="K120" t="s">
        <v>21</v>
      </c>
      <c r="L120">
        <v>65000</v>
      </c>
      <c r="N120" s="4">
        <v>80000</v>
      </c>
      <c r="O120" s="4">
        <v>65000</v>
      </c>
    </row>
    <row r="121" spans="11:16" x14ac:dyDescent="0.3">
      <c r="K121" t="s">
        <v>21</v>
      </c>
      <c r="L121">
        <v>65000</v>
      </c>
      <c r="N121" s="3">
        <v>80000</v>
      </c>
      <c r="O121" s="3">
        <v>65000</v>
      </c>
    </row>
    <row r="122" spans="11:16" x14ac:dyDescent="0.3">
      <c r="K122" t="s">
        <v>21</v>
      </c>
      <c r="L122">
        <v>65000</v>
      </c>
      <c r="N122" s="4">
        <v>80000</v>
      </c>
      <c r="O122" s="4">
        <v>65000</v>
      </c>
    </row>
    <row r="123" spans="11:16" x14ac:dyDescent="0.3">
      <c r="K123" t="s">
        <v>21</v>
      </c>
      <c r="L123">
        <v>65000</v>
      </c>
      <c r="N123" s="3">
        <v>80000</v>
      </c>
      <c r="O123" s="3">
        <v>65000</v>
      </c>
    </row>
    <row r="124" spans="11:16" x14ac:dyDescent="0.3">
      <c r="K124" t="s">
        <v>21</v>
      </c>
      <c r="L124">
        <v>65000</v>
      </c>
      <c r="N124" s="4">
        <v>80000</v>
      </c>
      <c r="O124" s="4">
        <v>64000</v>
      </c>
    </row>
    <row r="125" spans="11:16" x14ac:dyDescent="0.3">
      <c r="K125" t="s">
        <v>21</v>
      </c>
      <c r="L125">
        <v>65000</v>
      </c>
      <c r="N125" s="3">
        <v>79000</v>
      </c>
      <c r="O125" s="3">
        <v>64000</v>
      </c>
    </row>
    <row r="126" spans="11:16" x14ac:dyDescent="0.3">
      <c r="K126" t="s">
        <v>21</v>
      </c>
      <c r="L126">
        <v>65000</v>
      </c>
      <c r="N126" s="4">
        <v>79000</v>
      </c>
      <c r="O126" s="4">
        <v>63000</v>
      </c>
    </row>
    <row r="127" spans="11:16" x14ac:dyDescent="0.3">
      <c r="K127" t="s">
        <v>21</v>
      </c>
      <c r="L127">
        <v>65000</v>
      </c>
      <c r="N127" s="3">
        <v>79000</v>
      </c>
      <c r="O127" s="3">
        <v>62000</v>
      </c>
    </row>
    <row r="128" spans="11:16" x14ac:dyDescent="0.3">
      <c r="K128" t="s">
        <v>21</v>
      </c>
      <c r="L128">
        <v>65000</v>
      </c>
      <c r="N128" s="4">
        <v>78500</v>
      </c>
      <c r="O128" s="4">
        <v>62000</v>
      </c>
    </row>
    <row r="129" spans="11:15" x14ac:dyDescent="0.3">
      <c r="K129" t="s">
        <v>21</v>
      </c>
      <c r="L129">
        <v>65000</v>
      </c>
      <c r="N129" s="3">
        <v>78000</v>
      </c>
      <c r="O129" s="3">
        <v>60350</v>
      </c>
    </row>
    <row r="130" spans="11:15" x14ac:dyDescent="0.3">
      <c r="K130" t="s">
        <v>21</v>
      </c>
      <c r="L130">
        <v>65000</v>
      </c>
      <c r="N130" s="4">
        <v>78000</v>
      </c>
      <c r="O130" s="4">
        <v>60000</v>
      </c>
    </row>
    <row r="131" spans="11:15" x14ac:dyDescent="0.3">
      <c r="K131" t="s">
        <v>21</v>
      </c>
      <c r="L131">
        <v>64000</v>
      </c>
      <c r="N131" s="3">
        <v>78000</v>
      </c>
      <c r="O131" s="3">
        <v>60000</v>
      </c>
    </row>
    <row r="132" spans="11:15" x14ac:dyDescent="0.3">
      <c r="K132" t="s">
        <v>21</v>
      </c>
      <c r="L132">
        <v>64000</v>
      </c>
      <c r="N132" s="4">
        <v>78000</v>
      </c>
      <c r="O132" s="4">
        <v>60000</v>
      </c>
    </row>
    <row r="133" spans="11:15" x14ac:dyDescent="0.3">
      <c r="K133" t="s">
        <v>21</v>
      </c>
      <c r="L133">
        <v>63000</v>
      </c>
      <c r="N133" s="3">
        <v>78000</v>
      </c>
      <c r="O133" s="3">
        <v>60000</v>
      </c>
    </row>
    <row r="134" spans="11:15" x14ac:dyDescent="0.3">
      <c r="K134" t="s">
        <v>21</v>
      </c>
      <c r="L134">
        <v>62000</v>
      </c>
      <c r="N134" s="4">
        <v>78000</v>
      </c>
      <c r="O134" s="4">
        <v>60000</v>
      </c>
    </row>
    <row r="135" spans="11:15" x14ac:dyDescent="0.3">
      <c r="K135" t="s">
        <v>21</v>
      </c>
      <c r="L135">
        <v>62000</v>
      </c>
      <c r="N135" s="3">
        <v>78000</v>
      </c>
      <c r="O135" s="3">
        <v>60000</v>
      </c>
    </row>
    <row r="136" spans="11:15" x14ac:dyDescent="0.3">
      <c r="K136" t="s">
        <v>21</v>
      </c>
      <c r="L136">
        <v>60350</v>
      </c>
      <c r="N136" s="4">
        <v>77600</v>
      </c>
      <c r="O136" s="4">
        <v>60000</v>
      </c>
    </row>
    <row r="137" spans="11:15" x14ac:dyDescent="0.3">
      <c r="K137" t="s">
        <v>21</v>
      </c>
      <c r="L137">
        <v>60000</v>
      </c>
      <c r="N137" s="3">
        <v>77000</v>
      </c>
      <c r="O137" s="3">
        <v>60000</v>
      </c>
    </row>
    <row r="138" spans="11:15" x14ac:dyDescent="0.3">
      <c r="K138" t="s">
        <v>21</v>
      </c>
      <c r="L138">
        <v>60000</v>
      </c>
      <c r="N138" s="4">
        <v>77000</v>
      </c>
      <c r="O138" s="4">
        <v>60000</v>
      </c>
    </row>
    <row r="139" spans="11:15" x14ac:dyDescent="0.3">
      <c r="K139" t="s">
        <v>21</v>
      </c>
      <c r="L139">
        <v>60000</v>
      </c>
      <c r="N139" s="3">
        <v>77000</v>
      </c>
      <c r="O139" s="3">
        <v>60000</v>
      </c>
    </row>
    <row r="140" spans="11:15" x14ac:dyDescent="0.3">
      <c r="K140" t="s">
        <v>21</v>
      </c>
      <c r="L140">
        <v>60000</v>
      </c>
      <c r="N140" s="4">
        <v>77000</v>
      </c>
      <c r="O140" s="4">
        <v>60000</v>
      </c>
    </row>
    <row r="141" spans="11:15" x14ac:dyDescent="0.3">
      <c r="K141" t="s">
        <v>21</v>
      </c>
      <c r="L141">
        <v>60000</v>
      </c>
      <c r="N141" s="3">
        <v>76900</v>
      </c>
      <c r="O141" s="3">
        <v>58000</v>
      </c>
    </row>
    <row r="142" spans="11:15" x14ac:dyDescent="0.3">
      <c r="K142" t="s">
        <v>21</v>
      </c>
      <c r="L142">
        <v>60000</v>
      </c>
      <c r="N142" s="4">
        <v>76000</v>
      </c>
      <c r="O142" s="4">
        <v>57600</v>
      </c>
    </row>
    <row r="143" spans="11:15" x14ac:dyDescent="0.3">
      <c r="K143" t="s">
        <v>21</v>
      </c>
      <c r="L143">
        <v>60000</v>
      </c>
      <c r="N143" s="3">
        <v>76000</v>
      </c>
      <c r="O143" s="3">
        <v>57000</v>
      </c>
    </row>
    <row r="144" spans="11:15" x14ac:dyDescent="0.3">
      <c r="K144" t="s">
        <v>21</v>
      </c>
      <c r="L144">
        <v>60000</v>
      </c>
      <c r="N144" s="4">
        <v>76000</v>
      </c>
      <c r="O144" s="4">
        <v>56000</v>
      </c>
    </row>
    <row r="145" spans="11:15" x14ac:dyDescent="0.3">
      <c r="K145" t="s">
        <v>21</v>
      </c>
      <c r="L145">
        <v>60000</v>
      </c>
      <c r="N145" s="3">
        <v>76000</v>
      </c>
      <c r="O145" s="3">
        <v>56000</v>
      </c>
    </row>
    <row r="146" spans="11:15" x14ac:dyDescent="0.3">
      <c r="K146" t="s">
        <v>21</v>
      </c>
      <c r="L146">
        <v>60000</v>
      </c>
      <c r="N146" s="4">
        <v>75000</v>
      </c>
      <c r="O146" s="4">
        <v>56000</v>
      </c>
    </row>
    <row r="147" spans="11:15" x14ac:dyDescent="0.3">
      <c r="K147" t="s">
        <v>21</v>
      </c>
      <c r="L147">
        <v>60000</v>
      </c>
      <c r="N147" s="3">
        <v>75000</v>
      </c>
      <c r="O147" s="3">
        <v>55000</v>
      </c>
    </row>
    <row r="148" spans="11:15" x14ac:dyDescent="0.3">
      <c r="K148" t="s">
        <v>21</v>
      </c>
      <c r="L148">
        <v>58000</v>
      </c>
      <c r="N148" s="4">
        <v>75000</v>
      </c>
      <c r="O148" s="4">
        <v>55000</v>
      </c>
    </row>
    <row r="149" spans="11:15" x14ac:dyDescent="0.3">
      <c r="K149" t="s">
        <v>21</v>
      </c>
      <c r="L149">
        <v>57600</v>
      </c>
      <c r="N149" s="3">
        <v>75000</v>
      </c>
      <c r="O149" s="3">
        <v>55000</v>
      </c>
    </row>
    <row r="150" spans="11:15" x14ac:dyDescent="0.3">
      <c r="K150" t="s">
        <v>21</v>
      </c>
      <c r="L150">
        <v>57000</v>
      </c>
      <c r="N150" s="4">
        <v>75000</v>
      </c>
      <c r="O150" s="4">
        <v>55000</v>
      </c>
    </row>
    <row r="151" spans="11:15" x14ac:dyDescent="0.3">
      <c r="K151" t="s">
        <v>21</v>
      </c>
      <c r="L151">
        <v>56000</v>
      </c>
      <c r="N151" s="3">
        <v>75000</v>
      </c>
      <c r="O151" s="3">
        <v>55000</v>
      </c>
    </row>
    <row r="152" spans="11:15" x14ac:dyDescent="0.3">
      <c r="K152" t="s">
        <v>21</v>
      </c>
      <c r="L152">
        <v>56000</v>
      </c>
      <c r="N152" s="4">
        <v>75000</v>
      </c>
      <c r="O152" s="4">
        <v>54000</v>
      </c>
    </row>
    <row r="153" spans="11:15" x14ac:dyDescent="0.3">
      <c r="K153" t="s">
        <v>21</v>
      </c>
      <c r="L153">
        <v>56000</v>
      </c>
      <c r="N153" s="3">
        <v>75000</v>
      </c>
      <c r="O153" s="3">
        <v>53500</v>
      </c>
    </row>
    <row r="154" spans="11:15" x14ac:dyDescent="0.3">
      <c r="K154" t="s">
        <v>21</v>
      </c>
      <c r="L154">
        <v>55000</v>
      </c>
      <c r="N154" s="4">
        <v>75000</v>
      </c>
      <c r="O154" s="4">
        <v>53000</v>
      </c>
    </row>
    <row r="155" spans="11:15" x14ac:dyDescent="0.3">
      <c r="K155" t="s">
        <v>21</v>
      </c>
      <c r="L155">
        <v>55000</v>
      </c>
      <c r="N155" s="3">
        <v>75000</v>
      </c>
      <c r="O155" s="3">
        <v>51000</v>
      </c>
    </row>
    <row r="156" spans="11:15" x14ac:dyDescent="0.3">
      <c r="K156" t="s">
        <v>21</v>
      </c>
      <c r="L156">
        <v>55000</v>
      </c>
      <c r="N156" s="4">
        <v>75000</v>
      </c>
      <c r="O156" s="4">
        <v>50000</v>
      </c>
    </row>
    <row r="157" spans="11:15" x14ac:dyDescent="0.3">
      <c r="K157" t="s">
        <v>21</v>
      </c>
      <c r="L157">
        <v>55000</v>
      </c>
      <c r="N157" s="3">
        <v>75000</v>
      </c>
      <c r="O157" s="3">
        <v>50000</v>
      </c>
    </row>
    <row r="158" spans="11:15" x14ac:dyDescent="0.3">
      <c r="K158" t="s">
        <v>21</v>
      </c>
      <c r="L158">
        <v>55000</v>
      </c>
      <c r="N158" s="4">
        <v>75000</v>
      </c>
      <c r="O158" s="4">
        <v>50000</v>
      </c>
    </row>
    <row r="159" spans="11:15" x14ac:dyDescent="0.3">
      <c r="K159" t="s">
        <v>21</v>
      </c>
      <c r="L159">
        <v>54000</v>
      </c>
      <c r="N159" s="3">
        <v>75000</v>
      </c>
      <c r="O159" s="3">
        <v>50000</v>
      </c>
    </row>
    <row r="160" spans="11:15" x14ac:dyDescent="0.3">
      <c r="K160" t="s">
        <v>21</v>
      </c>
      <c r="L160">
        <v>53500</v>
      </c>
      <c r="N160" s="4">
        <v>75000</v>
      </c>
      <c r="O160" s="4">
        <v>48000</v>
      </c>
    </row>
    <row r="161" spans="11:15" x14ac:dyDescent="0.3">
      <c r="K161" t="s">
        <v>21</v>
      </c>
      <c r="L161">
        <v>53000</v>
      </c>
      <c r="N161" s="3">
        <v>75000</v>
      </c>
      <c r="O161" s="3">
        <v>46000</v>
      </c>
    </row>
    <row r="162" spans="11:15" x14ac:dyDescent="0.3">
      <c r="K162" t="s">
        <v>21</v>
      </c>
      <c r="L162">
        <v>51000</v>
      </c>
      <c r="N162" s="4">
        <v>75000</v>
      </c>
      <c r="O162" s="4">
        <v>44000</v>
      </c>
    </row>
    <row r="163" spans="11:15" x14ac:dyDescent="0.3">
      <c r="K163" t="s">
        <v>21</v>
      </c>
      <c r="L163">
        <v>50000</v>
      </c>
      <c r="N163" s="3">
        <v>75000</v>
      </c>
      <c r="O163" s="3">
        <v>43000</v>
      </c>
    </row>
    <row r="164" spans="11:15" x14ac:dyDescent="0.3">
      <c r="K164" t="s">
        <v>21</v>
      </c>
      <c r="L164">
        <v>50000</v>
      </c>
      <c r="N164" s="4">
        <v>75000</v>
      </c>
      <c r="O164" s="4">
        <v>42000</v>
      </c>
    </row>
    <row r="165" spans="11:15" x14ac:dyDescent="0.3">
      <c r="K165" t="s">
        <v>21</v>
      </c>
      <c r="L165">
        <v>50000</v>
      </c>
      <c r="N165" s="3">
        <v>75000</v>
      </c>
      <c r="O165" s="3">
        <v>42000</v>
      </c>
    </row>
    <row r="166" spans="11:15" x14ac:dyDescent="0.3">
      <c r="K166" t="s">
        <v>21</v>
      </c>
      <c r="L166">
        <v>50000</v>
      </c>
      <c r="N166" s="4">
        <v>75000</v>
      </c>
      <c r="O166" s="4">
        <v>40700</v>
      </c>
    </row>
    <row r="167" spans="11:15" x14ac:dyDescent="0.3">
      <c r="K167" t="s">
        <v>21</v>
      </c>
      <c r="L167">
        <v>48000</v>
      </c>
      <c r="N167" s="3">
        <v>75000</v>
      </c>
      <c r="O167" s="3">
        <v>35000</v>
      </c>
    </row>
    <row r="168" spans="11:15" x14ac:dyDescent="0.3">
      <c r="K168" t="s">
        <v>21</v>
      </c>
      <c r="L168">
        <v>46000</v>
      </c>
      <c r="N168" s="4">
        <v>75000</v>
      </c>
      <c r="O168" s="4">
        <v>28000</v>
      </c>
    </row>
    <row r="169" spans="11:15" x14ac:dyDescent="0.3">
      <c r="K169" t="s">
        <v>21</v>
      </c>
      <c r="L169">
        <v>44000</v>
      </c>
      <c r="N169" s="3">
        <v>75000</v>
      </c>
      <c r="O169" s="3">
        <v>27000</v>
      </c>
    </row>
    <row r="170" spans="11:15" x14ac:dyDescent="0.3">
      <c r="K170" t="s">
        <v>21</v>
      </c>
      <c r="L170">
        <v>43000</v>
      </c>
      <c r="N170" s="4">
        <v>75000</v>
      </c>
      <c r="O170" s="4">
        <v>27000</v>
      </c>
    </row>
    <row r="171" spans="11:15" x14ac:dyDescent="0.3">
      <c r="K171" t="s">
        <v>21</v>
      </c>
      <c r="L171">
        <v>42000</v>
      </c>
      <c r="N171" s="3">
        <v>75000</v>
      </c>
      <c r="O171" s="3">
        <v>25000</v>
      </c>
    </row>
    <row r="172" spans="11:15" x14ac:dyDescent="0.3">
      <c r="K172" t="s">
        <v>21</v>
      </c>
      <c r="L172">
        <v>42000</v>
      </c>
      <c r="N172" s="4">
        <v>75000</v>
      </c>
      <c r="O172" s="4">
        <v>17500</v>
      </c>
    </row>
    <row r="173" spans="11:15" x14ac:dyDescent="0.3">
      <c r="K173" t="s">
        <v>21</v>
      </c>
      <c r="L173">
        <v>40700</v>
      </c>
      <c r="N173" s="3">
        <v>75000</v>
      </c>
      <c r="O173" s="3">
        <v>14400</v>
      </c>
    </row>
    <row r="174" spans="11:15" x14ac:dyDescent="0.3">
      <c r="K174" t="s">
        <v>21</v>
      </c>
      <c r="L174">
        <v>35000</v>
      </c>
      <c r="N174" s="4">
        <v>75000</v>
      </c>
      <c r="O174" s="4">
        <v>13000</v>
      </c>
    </row>
    <row r="175" spans="11:15" x14ac:dyDescent="0.3">
      <c r="K175" t="s">
        <v>21</v>
      </c>
      <c r="L175">
        <v>28000</v>
      </c>
      <c r="N175" s="3">
        <v>75000</v>
      </c>
      <c r="O175" s="3">
        <v>12000</v>
      </c>
    </row>
    <row r="176" spans="11:15" x14ac:dyDescent="0.3">
      <c r="K176" t="s">
        <v>21</v>
      </c>
      <c r="L176">
        <v>27000</v>
      </c>
      <c r="N176" s="4">
        <v>75000</v>
      </c>
      <c r="O176" s="4">
        <v>10001</v>
      </c>
    </row>
    <row r="177" spans="11:15" x14ac:dyDescent="0.3">
      <c r="K177" t="s">
        <v>21</v>
      </c>
      <c r="L177">
        <v>27000</v>
      </c>
      <c r="N177" s="3">
        <v>75000</v>
      </c>
      <c r="O177" s="3">
        <v>10001</v>
      </c>
    </row>
    <row r="178" spans="11:15" x14ac:dyDescent="0.3">
      <c r="K178" t="s">
        <v>21</v>
      </c>
      <c r="L178">
        <v>25000</v>
      </c>
      <c r="N178" s="4">
        <v>75000</v>
      </c>
    </row>
    <row r="179" spans="11:15" x14ac:dyDescent="0.3">
      <c r="K179" t="s">
        <v>21</v>
      </c>
      <c r="L179">
        <v>17500</v>
      </c>
      <c r="N179" s="3">
        <v>75000</v>
      </c>
    </row>
    <row r="180" spans="11:15" x14ac:dyDescent="0.3">
      <c r="K180" t="s">
        <v>21</v>
      </c>
      <c r="L180">
        <v>14400</v>
      </c>
      <c r="N180" s="4">
        <v>74000</v>
      </c>
    </row>
    <row r="181" spans="11:15" x14ac:dyDescent="0.3">
      <c r="K181" t="s">
        <v>21</v>
      </c>
      <c r="L181">
        <v>13000</v>
      </c>
      <c r="N181" s="3">
        <v>74000</v>
      </c>
    </row>
    <row r="182" spans="11:15" x14ac:dyDescent="0.3">
      <c r="K182" t="s">
        <v>21</v>
      </c>
      <c r="L182">
        <v>12000</v>
      </c>
      <c r="N182" s="4">
        <v>74000</v>
      </c>
    </row>
    <row r="183" spans="11:15" x14ac:dyDescent="0.3">
      <c r="K183" t="s">
        <v>21</v>
      </c>
      <c r="L183">
        <v>10001</v>
      </c>
      <c r="N183" s="3">
        <v>74000</v>
      </c>
    </row>
    <row r="184" spans="11:15" x14ac:dyDescent="0.3">
      <c r="K184" t="s">
        <v>21</v>
      </c>
      <c r="L184">
        <v>10001</v>
      </c>
      <c r="N184" s="4">
        <v>74000</v>
      </c>
    </row>
    <row r="185" spans="11:15" x14ac:dyDescent="0.3">
      <c r="K185" t="s">
        <v>135</v>
      </c>
      <c r="L185">
        <v>100000</v>
      </c>
      <c r="N185" s="3">
        <v>73000</v>
      </c>
    </row>
    <row r="186" spans="11:15" x14ac:dyDescent="0.3">
      <c r="K186" t="s">
        <v>363</v>
      </c>
      <c r="L186">
        <v>30000</v>
      </c>
      <c r="N186" s="4">
        <v>73000</v>
      </c>
    </row>
    <row r="187" spans="11:15" x14ac:dyDescent="0.3">
      <c r="K187" t="s">
        <v>316</v>
      </c>
      <c r="L187">
        <v>48000</v>
      </c>
      <c r="N187" s="3">
        <v>73000</v>
      </c>
    </row>
    <row r="188" spans="11:15" x14ac:dyDescent="0.3">
      <c r="K188" t="s">
        <v>85</v>
      </c>
      <c r="L188">
        <v>60000</v>
      </c>
      <c r="N188" s="4">
        <v>73000</v>
      </c>
    </row>
    <row r="189" spans="11:15" x14ac:dyDescent="0.3">
      <c r="K189" t="s">
        <v>280</v>
      </c>
      <c r="L189">
        <v>65000</v>
      </c>
      <c r="N189" s="3">
        <v>72500</v>
      </c>
    </row>
    <row r="190" spans="11:15" x14ac:dyDescent="0.3">
      <c r="K190" t="s">
        <v>317</v>
      </c>
      <c r="L190">
        <v>75000</v>
      </c>
      <c r="N190" s="4">
        <v>72000</v>
      </c>
    </row>
    <row r="191" spans="11:15" x14ac:dyDescent="0.3">
      <c r="K191" t="s">
        <v>131</v>
      </c>
      <c r="L191">
        <v>56000</v>
      </c>
      <c r="N191" s="3">
        <v>72000</v>
      </c>
    </row>
    <row r="192" spans="11:15" x14ac:dyDescent="0.3">
      <c r="K192" t="s">
        <v>332</v>
      </c>
      <c r="L192">
        <v>65000</v>
      </c>
      <c r="N192" s="4">
        <v>72000</v>
      </c>
    </row>
    <row r="193" spans="11:14" x14ac:dyDescent="0.3">
      <c r="K193" t="s">
        <v>148</v>
      </c>
      <c r="L193">
        <v>70000</v>
      </c>
      <c r="N193" s="3">
        <v>72000</v>
      </c>
    </row>
    <row r="194" spans="11:14" x14ac:dyDescent="0.3">
      <c r="K194" t="s">
        <v>148</v>
      </c>
      <c r="L194">
        <v>68500</v>
      </c>
      <c r="N194" s="4">
        <v>72000</v>
      </c>
    </row>
    <row r="195" spans="11:14" x14ac:dyDescent="0.3">
      <c r="K195" t="s">
        <v>148</v>
      </c>
      <c r="L195">
        <v>60000</v>
      </c>
      <c r="N195" s="3">
        <v>72000</v>
      </c>
    </row>
    <row r="196" spans="11:14" x14ac:dyDescent="0.3">
      <c r="K196" t="s">
        <v>248</v>
      </c>
      <c r="L196">
        <v>39000</v>
      </c>
      <c r="N196" s="4">
        <v>72000</v>
      </c>
    </row>
    <row r="197" spans="11:14" x14ac:dyDescent="0.3">
      <c r="K197" t="s">
        <v>119</v>
      </c>
      <c r="L197">
        <v>48000</v>
      </c>
      <c r="N197" s="3">
        <v>72000</v>
      </c>
    </row>
    <row r="198" spans="11:14" x14ac:dyDescent="0.3">
      <c r="K198" t="s">
        <v>241</v>
      </c>
      <c r="L198">
        <v>115000</v>
      </c>
      <c r="N198" s="4">
        <v>71750</v>
      </c>
    </row>
    <row r="199" spans="11:14" x14ac:dyDescent="0.3">
      <c r="K199" t="s">
        <v>90</v>
      </c>
      <c r="L199">
        <v>120000</v>
      </c>
      <c r="N199" s="3">
        <v>71000</v>
      </c>
    </row>
    <row r="200" spans="11:14" x14ac:dyDescent="0.3">
      <c r="K200" t="s">
        <v>136</v>
      </c>
      <c r="L200">
        <v>72000</v>
      </c>
      <c r="N200" s="4">
        <v>71000</v>
      </c>
    </row>
    <row r="201" spans="11:14" x14ac:dyDescent="0.3">
      <c r="K201" t="s">
        <v>382</v>
      </c>
      <c r="L201">
        <v>50400</v>
      </c>
      <c r="N201" s="3">
        <v>71000</v>
      </c>
    </row>
    <row r="202" spans="11:14" x14ac:dyDescent="0.3">
      <c r="K202" t="s">
        <v>289</v>
      </c>
      <c r="L202">
        <v>23000</v>
      </c>
      <c r="N202" s="4">
        <v>71000</v>
      </c>
    </row>
    <row r="203" spans="11:14" x14ac:dyDescent="0.3">
      <c r="K203" t="s">
        <v>154</v>
      </c>
      <c r="L203">
        <v>100000</v>
      </c>
      <c r="N203" s="3">
        <v>70500</v>
      </c>
    </row>
    <row r="204" spans="11:14" x14ac:dyDescent="0.3">
      <c r="K204" t="s">
        <v>154</v>
      </c>
      <c r="L204">
        <v>65000</v>
      </c>
      <c r="N204" s="4">
        <v>70500</v>
      </c>
    </row>
    <row r="205" spans="11:14" x14ac:dyDescent="0.3">
      <c r="K205" t="s">
        <v>154</v>
      </c>
      <c r="L205">
        <v>58000</v>
      </c>
      <c r="N205" s="3">
        <v>70000</v>
      </c>
    </row>
    <row r="206" spans="11:14" x14ac:dyDescent="0.3">
      <c r="K206" t="s">
        <v>230</v>
      </c>
      <c r="L206">
        <v>72000</v>
      </c>
      <c r="N206" s="4">
        <v>70000</v>
      </c>
    </row>
    <row r="207" spans="11:14" x14ac:dyDescent="0.3">
      <c r="K207" t="s">
        <v>130</v>
      </c>
      <c r="L207">
        <v>45000</v>
      </c>
      <c r="N207" s="3">
        <v>70000</v>
      </c>
    </row>
    <row r="208" spans="11:14" x14ac:dyDescent="0.3">
      <c r="K208" t="s">
        <v>205</v>
      </c>
      <c r="L208">
        <v>200000</v>
      </c>
      <c r="N208" s="4">
        <v>70000</v>
      </c>
    </row>
    <row r="209" spans="11:14" x14ac:dyDescent="0.3">
      <c r="K209" t="s">
        <v>205</v>
      </c>
      <c r="L209">
        <v>150000</v>
      </c>
      <c r="N209" s="3">
        <v>70000</v>
      </c>
    </row>
    <row r="210" spans="11:14" x14ac:dyDescent="0.3">
      <c r="K210" t="s">
        <v>205</v>
      </c>
      <c r="L210">
        <v>90000</v>
      </c>
      <c r="N210" s="4">
        <v>70000</v>
      </c>
    </row>
    <row r="211" spans="11:14" x14ac:dyDescent="0.3">
      <c r="K211" t="s">
        <v>205</v>
      </c>
      <c r="L211">
        <v>84000</v>
      </c>
      <c r="N211" s="3">
        <v>70000</v>
      </c>
    </row>
    <row r="212" spans="11:14" x14ac:dyDescent="0.3">
      <c r="K212" t="s">
        <v>205</v>
      </c>
      <c r="L212">
        <v>50000</v>
      </c>
      <c r="N212" s="4">
        <v>70000</v>
      </c>
    </row>
    <row r="213" spans="11:14" x14ac:dyDescent="0.3">
      <c r="K213" t="s">
        <v>258</v>
      </c>
      <c r="L213">
        <v>45000</v>
      </c>
      <c r="N213" s="3">
        <v>70000</v>
      </c>
    </row>
    <row r="214" spans="11:14" x14ac:dyDescent="0.3">
      <c r="K214" t="s">
        <v>231</v>
      </c>
      <c r="L214">
        <v>95000</v>
      </c>
      <c r="N214" s="4">
        <v>70000</v>
      </c>
    </row>
    <row r="215" spans="11:14" x14ac:dyDescent="0.3">
      <c r="K215" t="s">
        <v>231</v>
      </c>
      <c r="L215">
        <v>83000</v>
      </c>
      <c r="N215" s="3">
        <v>70000</v>
      </c>
    </row>
    <row r="216" spans="11:14" x14ac:dyDescent="0.3">
      <c r="K216" t="s">
        <v>231</v>
      </c>
      <c r="L216">
        <v>77000</v>
      </c>
      <c r="N216" s="4">
        <v>70000</v>
      </c>
    </row>
    <row r="217" spans="11:14" x14ac:dyDescent="0.3">
      <c r="K217" t="s">
        <v>231</v>
      </c>
      <c r="L217">
        <v>67000</v>
      </c>
      <c r="N217" s="3">
        <v>70000</v>
      </c>
    </row>
    <row r="218" spans="11:14" x14ac:dyDescent="0.3">
      <c r="K218" t="s">
        <v>231</v>
      </c>
      <c r="L218">
        <v>62000</v>
      </c>
      <c r="N218" s="4">
        <v>70000</v>
      </c>
    </row>
    <row r="219" spans="11:14" x14ac:dyDescent="0.3">
      <c r="K219" t="s">
        <v>231</v>
      </c>
      <c r="L219">
        <v>53000</v>
      </c>
      <c r="N219" s="3">
        <v>70000</v>
      </c>
    </row>
    <row r="220" spans="11:14" x14ac:dyDescent="0.3">
      <c r="K220" t="s">
        <v>231</v>
      </c>
      <c r="L220">
        <v>49200</v>
      </c>
      <c r="N220" s="4">
        <v>70000</v>
      </c>
    </row>
    <row r="221" spans="11:14" x14ac:dyDescent="0.3">
      <c r="K221" t="s">
        <v>231</v>
      </c>
      <c r="L221">
        <v>49000</v>
      </c>
      <c r="N221" s="3">
        <v>70000</v>
      </c>
    </row>
    <row r="222" spans="11:14" x14ac:dyDescent="0.3">
      <c r="K222" t="s">
        <v>262</v>
      </c>
      <c r="L222">
        <v>68000</v>
      </c>
      <c r="N222" s="4">
        <v>70000</v>
      </c>
    </row>
    <row r="223" spans="11:14" x14ac:dyDescent="0.3">
      <c r="K223" t="s">
        <v>262</v>
      </c>
      <c r="L223">
        <v>63000</v>
      </c>
      <c r="N223" s="3">
        <v>70000</v>
      </c>
    </row>
    <row r="224" spans="11:14" x14ac:dyDescent="0.3">
      <c r="K224" t="s">
        <v>262</v>
      </c>
      <c r="L224">
        <v>36000</v>
      </c>
      <c r="N224" s="4">
        <v>70000</v>
      </c>
    </row>
    <row r="225" spans="11:14" x14ac:dyDescent="0.3">
      <c r="K225" t="s">
        <v>504</v>
      </c>
      <c r="L225">
        <v>90000</v>
      </c>
      <c r="N225" s="3">
        <v>70000</v>
      </c>
    </row>
    <row r="226" spans="11:14" x14ac:dyDescent="0.3">
      <c r="K226" t="s">
        <v>114</v>
      </c>
      <c r="L226">
        <v>68000</v>
      </c>
      <c r="N226" s="4">
        <v>70000</v>
      </c>
    </row>
    <row r="227" spans="11:14" x14ac:dyDescent="0.3">
      <c r="K227" t="s">
        <v>35</v>
      </c>
      <c r="L227">
        <v>200000</v>
      </c>
      <c r="N227" s="3">
        <v>70000</v>
      </c>
    </row>
    <row r="228" spans="11:14" x14ac:dyDescent="0.3">
      <c r="K228" t="s">
        <v>35</v>
      </c>
      <c r="L228">
        <v>110000</v>
      </c>
      <c r="N228" s="4">
        <v>69000</v>
      </c>
    </row>
    <row r="229" spans="11:14" x14ac:dyDescent="0.3">
      <c r="K229" t="s">
        <v>35</v>
      </c>
      <c r="L229">
        <v>90000</v>
      </c>
      <c r="N229" s="3">
        <v>69000</v>
      </c>
    </row>
    <row r="230" spans="11:14" x14ac:dyDescent="0.3">
      <c r="K230" t="s">
        <v>35</v>
      </c>
      <c r="L230">
        <v>90000</v>
      </c>
      <c r="N230" s="4">
        <v>68500</v>
      </c>
    </row>
    <row r="231" spans="11:14" x14ac:dyDescent="0.3">
      <c r="K231" t="s">
        <v>35</v>
      </c>
      <c r="L231">
        <v>90000</v>
      </c>
      <c r="N231" s="3">
        <v>68000</v>
      </c>
    </row>
    <row r="232" spans="11:14" x14ac:dyDescent="0.3">
      <c r="K232" t="s">
        <v>35</v>
      </c>
      <c r="L232">
        <v>85000</v>
      </c>
      <c r="N232" s="4">
        <v>68000</v>
      </c>
    </row>
    <row r="233" spans="11:14" x14ac:dyDescent="0.3">
      <c r="K233" t="s">
        <v>35</v>
      </c>
      <c r="L233">
        <v>83000</v>
      </c>
      <c r="N233" s="3">
        <v>68000</v>
      </c>
    </row>
    <row r="234" spans="11:14" x14ac:dyDescent="0.3">
      <c r="K234" t="s">
        <v>35</v>
      </c>
      <c r="L234">
        <v>82000</v>
      </c>
      <c r="N234" s="4">
        <v>68000</v>
      </c>
    </row>
    <row r="235" spans="11:14" x14ac:dyDescent="0.3">
      <c r="K235" t="s">
        <v>35</v>
      </c>
      <c r="L235">
        <v>81000</v>
      </c>
      <c r="N235" s="3">
        <v>68000</v>
      </c>
    </row>
    <row r="236" spans="11:14" x14ac:dyDescent="0.3">
      <c r="K236" t="s">
        <v>35</v>
      </c>
      <c r="L236">
        <v>75000</v>
      </c>
      <c r="N236" s="4">
        <v>68000</v>
      </c>
    </row>
    <row r="237" spans="11:14" x14ac:dyDescent="0.3">
      <c r="K237" t="s">
        <v>35</v>
      </c>
      <c r="L237">
        <v>74000</v>
      </c>
      <c r="N237" s="3">
        <v>68000</v>
      </c>
    </row>
    <row r="238" spans="11:14" x14ac:dyDescent="0.3">
      <c r="K238" t="s">
        <v>306</v>
      </c>
      <c r="L238">
        <v>68000</v>
      </c>
      <c r="N238" s="4">
        <v>67500</v>
      </c>
    </row>
    <row r="239" spans="11:14" x14ac:dyDescent="0.3">
      <c r="K239" t="s">
        <v>35</v>
      </c>
      <c r="L239">
        <v>68000</v>
      </c>
      <c r="N239" s="3">
        <v>67200</v>
      </c>
    </row>
    <row r="240" spans="11:14" x14ac:dyDescent="0.3">
      <c r="K240" t="s">
        <v>35</v>
      </c>
      <c r="L240">
        <v>68000</v>
      </c>
      <c r="N240" s="4">
        <v>67000</v>
      </c>
    </row>
    <row r="241" spans="11:14" x14ac:dyDescent="0.3">
      <c r="K241" t="s">
        <v>35</v>
      </c>
      <c r="L241">
        <v>68000</v>
      </c>
      <c r="N241" s="3">
        <v>67000</v>
      </c>
    </row>
    <row r="242" spans="11:14" x14ac:dyDescent="0.3">
      <c r="K242" t="s">
        <v>35</v>
      </c>
      <c r="L242">
        <v>65000</v>
      </c>
      <c r="N242" s="4">
        <v>67000</v>
      </c>
    </row>
    <row r="243" spans="11:14" x14ac:dyDescent="0.3">
      <c r="K243" t="s">
        <v>35</v>
      </c>
      <c r="L243">
        <v>65000</v>
      </c>
      <c r="N243" s="3">
        <v>67000</v>
      </c>
    </row>
    <row r="244" spans="11:14" x14ac:dyDescent="0.3">
      <c r="K244" t="s">
        <v>35</v>
      </c>
      <c r="L244">
        <v>65000</v>
      </c>
      <c r="N244" s="4">
        <v>67000</v>
      </c>
    </row>
    <row r="245" spans="11:14" x14ac:dyDescent="0.3">
      <c r="K245" t="s">
        <v>35</v>
      </c>
      <c r="L245">
        <v>57000</v>
      </c>
      <c r="N245" s="3">
        <v>66800</v>
      </c>
    </row>
    <row r="246" spans="11:14" x14ac:dyDescent="0.3">
      <c r="K246" t="s">
        <v>35</v>
      </c>
      <c r="L246">
        <v>54000</v>
      </c>
      <c r="N246" s="4">
        <v>66300</v>
      </c>
    </row>
    <row r="247" spans="11:14" x14ac:dyDescent="0.3">
      <c r="K247" t="s">
        <v>35</v>
      </c>
      <c r="L247">
        <v>54000</v>
      </c>
      <c r="N247" s="3">
        <v>66000</v>
      </c>
    </row>
    <row r="248" spans="11:14" x14ac:dyDescent="0.3">
      <c r="K248" t="s">
        <v>35</v>
      </c>
      <c r="L248">
        <v>52500</v>
      </c>
      <c r="N248" s="4">
        <v>66000</v>
      </c>
    </row>
    <row r="249" spans="11:14" x14ac:dyDescent="0.3">
      <c r="K249" t="s">
        <v>35</v>
      </c>
      <c r="L249">
        <v>51000</v>
      </c>
      <c r="N249" s="3">
        <v>65900</v>
      </c>
    </row>
    <row r="250" spans="11:14" x14ac:dyDescent="0.3">
      <c r="K250" t="s">
        <v>35</v>
      </c>
      <c r="L250">
        <v>50000</v>
      </c>
      <c r="N250" s="4">
        <v>65000</v>
      </c>
    </row>
    <row r="251" spans="11:14" x14ac:dyDescent="0.3">
      <c r="K251" t="s">
        <v>35</v>
      </c>
      <c r="L251">
        <v>49000</v>
      </c>
      <c r="N251" s="3">
        <v>65000</v>
      </c>
    </row>
    <row r="252" spans="11:14" x14ac:dyDescent="0.3">
      <c r="K252" t="s">
        <v>35</v>
      </c>
      <c r="L252">
        <v>40000</v>
      </c>
      <c r="N252" s="4">
        <v>65000</v>
      </c>
    </row>
    <row r="253" spans="11:14" x14ac:dyDescent="0.3">
      <c r="K253" t="s">
        <v>105</v>
      </c>
      <c r="L253">
        <v>89200</v>
      </c>
      <c r="N253" s="3">
        <v>65000</v>
      </c>
    </row>
    <row r="254" spans="11:14" x14ac:dyDescent="0.3">
      <c r="K254" t="s">
        <v>53</v>
      </c>
      <c r="L254">
        <v>300000</v>
      </c>
      <c r="N254" s="4">
        <v>65000</v>
      </c>
    </row>
    <row r="255" spans="11:14" x14ac:dyDescent="0.3">
      <c r="K255" t="s">
        <v>53</v>
      </c>
      <c r="L255">
        <v>150000</v>
      </c>
      <c r="N255" s="3">
        <v>65000</v>
      </c>
    </row>
    <row r="256" spans="11:14" x14ac:dyDescent="0.3">
      <c r="K256" t="s">
        <v>53</v>
      </c>
      <c r="L256">
        <v>115000</v>
      </c>
      <c r="N256" s="4">
        <v>65000</v>
      </c>
    </row>
    <row r="257" spans="11:14" x14ac:dyDescent="0.3">
      <c r="K257" t="s">
        <v>53</v>
      </c>
      <c r="L257">
        <v>115000</v>
      </c>
      <c r="N257" s="3">
        <v>65000</v>
      </c>
    </row>
    <row r="258" spans="11:14" x14ac:dyDescent="0.3">
      <c r="K258" t="s">
        <v>53</v>
      </c>
      <c r="L258">
        <v>110000</v>
      </c>
      <c r="N258" s="4">
        <v>65000</v>
      </c>
    </row>
    <row r="259" spans="11:14" x14ac:dyDescent="0.3">
      <c r="K259" t="s">
        <v>53</v>
      </c>
      <c r="L259">
        <v>110000</v>
      </c>
      <c r="N259" s="3">
        <v>65000</v>
      </c>
    </row>
    <row r="260" spans="11:14" x14ac:dyDescent="0.3">
      <c r="K260" t="s">
        <v>53</v>
      </c>
      <c r="L260">
        <v>106000</v>
      </c>
      <c r="N260" s="4">
        <v>65000</v>
      </c>
    </row>
    <row r="261" spans="11:14" x14ac:dyDescent="0.3">
      <c r="K261" t="s">
        <v>53</v>
      </c>
      <c r="L261">
        <v>105000</v>
      </c>
      <c r="N261" s="3">
        <v>65000</v>
      </c>
    </row>
    <row r="262" spans="11:14" x14ac:dyDescent="0.3">
      <c r="K262" t="s">
        <v>53</v>
      </c>
      <c r="L262">
        <v>100000</v>
      </c>
      <c r="N262" s="4">
        <v>65000</v>
      </c>
    </row>
    <row r="263" spans="11:14" x14ac:dyDescent="0.3">
      <c r="K263" t="s">
        <v>53</v>
      </c>
      <c r="L263">
        <v>100000</v>
      </c>
      <c r="N263" s="3">
        <v>65000</v>
      </c>
    </row>
    <row r="264" spans="11:14" x14ac:dyDescent="0.3">
      <c r="K264" t="s">
        <v>53</v>
      </c>
      <c r="L264">
        <v>100000</v>
      </c>
      <c r="N264" s="4">
        <v>65000</v>
      </c>
    </row>
    <row r="265" spans="11:14" x14ac:dyDescent="0.3">
      <c r="K265" t="s">
        <v>53</v>
      </c>
      <c r="L265">
        <v>92000</v>
      </c>
      <c r="N265" s="3">
        <v>65000</v>
      </c>
    </row>
    <row r="266" spans="11:14" x14ac:dyDescent="0.3">
      <c r="K266" t="s">
        <v>53</v>
      </c>
      <c r="L266">
        <v>90000</v>
      </c>
      <c r="N266" s="4">
        <v>65000</v>
      </c>
    </row>
    <row r="267" spans="11:14" x14ac:dyDescent="0.3">
      <c r="K267" t="s">
        <v>53</v>
      </c>
      <c r="L267">
        <v>87550</v>
      </c>
      <c r="N267" s="3">
        <v>65000</v>
      </c>
    </row>
    <row r="268" spans="11:14" x14ac:dyDescent="0.3">
      <c r="K268" t="s">
        <v>53</v>
      </c>
      <c r="L268">
        <v>87000</v>
      </c>
      <c r="N268" s="4">
        <v>65000</v>
      </c>
    </row>
    <row r="269" spans="11:14" x14ac:dyDescent="0.3">
      <c r="K269" t="s">
        <v>53</v>
      </c>
      <c r="L269">
        <v>85000</v>
      </c>
      <c r="N269" s="3">
        <v>65000</v>
      </c>
    </row>
    <row r="270" spans="11:14" x14ac:dyDescent="0.3">
      <c r="K270" t="s">
        <v>53</v>
      </c>
      <c r="L270">
        <v>85000</v>
      </c>
      <c r="N270" s="4">
        <v>65000</v>
      </c>
    </row>
    <row r="271" spans="11:14" x14ac:dyDescent="0.3">
      <c r="K271" t="s">
        <v>53</v>
      </c>
      <c r="L271">
        <v>85000</v>
      </c>
      <c r="N271" s="3">
        <v>64000</v>
      </c>
    </row>
    <row r="272" spans="11:14" x14ac:dyDescent="0.3">
      <c r="K272" t="s">
        <v>53</v>
      </c>
      <c r="L272">
        <v>85000</v>
      </c>
      <c r="N272" s="4">
        <v>64000</v>
      </c>
    </row>
    <row r="273" spans="11:14" x14ac:dyDescent="0.3">
      <c r="K273" t="s">
        <v>53</v>
      </c>
      <c r="L273">
        <v>82000</v>
      </c>
      <c r="N273" s="3">
        <v>64000</v>
      </c>
    </row>
    <row r="274" spans="11:14" x14ac:dyDescent="0.3">
      <c r="K274" t="s">
        <v>53</v>
      </c>
      <c r="L274">
        <v>81000</v>
      </c>
      <c r="N274" s="4">
        <v>63700</v>
      </c>
    </row>
    <row r="275" spans="11:14" x14ac:dyDescent="0.3">
      <c r="K275" t="s">
        <v>53</v>
      </c>
      <c r="L275">
        <v>80000</v>
      </c>
      <c r="N275" s="3">
        <v>63000</v>
      </c>
    </row>
    <row r="276" spans="11:14" x14ac:dyDescent="0.3">
      <c r="K276" t="s">
        <v>53</v>
      </c>
      <c r="L276">
        <v>80000</v>
      </c>
      <c r="N276" s="4">
        <v>63000</v>
      </c>
    </row>
    <row r="277" spans="11:14" x14ac:dyDescent="0.3">
      <c r="K277" t="s">
        <v>53</v>
      </c>
      <c r="L277">
        <v>80000</v>
      </c>
      <c r="N277" s="3">
        <v>63000</v>
      </c>
    </row>
    <row r="278" spans="11:14" x14ac:dyDescent="0.3">
      <c r="K278" t="s">
        <v>53</v>
      </c>
      <c r="L278">
        <v>80000</v>
      </c>
      <c r="N278" s="4">
        <v>63000</v>
      </c>
    </row>
    <row r="279" spans="11:14" x14ac:dyDescent="0.3">
      <c r="K279" t="s">
        <v>53</v>
      </c>
      <c r="L279">
        <v>80000</v>
      </c>
      <c r="N279" s="3">
        <v>63000</v>
      </c>
    </row>
    <row r="280" spans="11:14" x14ac:dyDescent="0.3">
      <c r="K280" t="s">
        <v>53</v>
      </c>
      <c r="L280">
        <v>80000</v>
      </c>
      <c r="N280" s="4">
        <v>63000</v>
      </c>
    </row>
    <row r="281" spans="11:14" x14ac:dyDescent="0.3">
      <c r="K281" t="s">
        <v>53</v>
      </c>
      <c r="L281">
        <v>78000</v>
      </c>
      <c r="N281" s="3">
        <v>63000</v>
      </c>
    </row>
    <row r="282" spans="11:14" x14ac:dyDescent="0.3">
      <c r="K282" t="s">
        <v>53</v>
      </c>
      <c r="L282">
        <v>78000</v>
      </c>
      <c r="N282" s="4">
        <v>62400</v>
      </c>
    </row>
    <row r="283" spans="11:14" x14ac:dyDescent="0.3">
      <c r="K283" t="s">
        <v>53</v>
      </c>
      <c r="L283">
        <v>77500</v>
      </c>
      <c r="N283" s="3">
        <v>62000</v>
      </c>
    </row>
    <row r="284" spans="11:14" x14ac:dyDescent="0.3">
      <c r="K284" t="s">
        <v>53</v>
      </c>
      <c r="L284">
        <v>77000</v>
      </c>
      <c r="N284" s="4">
        <v>62000</v>
      </c>
    </row>
    <row r="285" spans="11:14" x14ac:dyDescent="0.3">
      <c r="K285" t="s">
        <v>53</v>
      </c>
      <c r="L285">
        <v>77000</v>
      </c>
      <c r="N285" s="3">
        <v>62000</v>
      </c>
    </row>
    <row r="286" spans="11:14" x14ac:dyDescent="0.3">
      <c r="K286" t="s">
        <v>53</v>
      </c>
      <c r="L286">
        <v>76000</v>
      </c>
      <c r="N286" s="4">
        <v>62000</v>
      </c>
    </row>
    <row r="287" spans="11:14" x14ac:dyDescent="0.3">
      <c r="K287" t="s">
        <v>53</v>
      </c>
      <c r="L287">
        <v>75000</v>
      </c>
      <c r="N287" s="3">
        <v>61500</v>
      </c>
    </row>
    <row r="288" spans="11:14" x14ac:dyDescent="0.3">
      <c r="K288" t="s">
        <v>53</v>
      </c>
      <c r="L288">
        <v>75000</v>
      </c>
      <c r="N288" s="4">
        <v>61000</v>
      </c>
    </row>
    <row r="289" spans="11:14" x14ac:dyDescent="0.3">
      <c r="K289" t="s">
        <v>53</v>
      </c>
      <c r="L289">
        <v>75000</v>
      </c>
      <c r="N289" s="3">
        <v>60000</v>
      </c>
    </row>
    <row r="290" spans="11:14" x14ac:dyDescent="0.3">
      <c r="K290" t="s">
        <v>53</v>
      </c>
      <c r="L290">
        <v>75000</v>
      </c>
      <c r="N290" s="4">
        <v>60000</v>
      </c>
    </row>
    <row r="291" spans="11:14" x14ac:dyDescent="0.3">
      <c r="K291" t="s">
        <v>53</v>
      </c>
      <c r="L291">
        <v>75000</v>
      </c>
      <c r="N291" s="3">
        <v>60000</v>
      </c>
    </row>
    <row r="292" spans="11:14" x14ac:dyDescent="0.3">
      <c r="K292" t="s">
        <v>53</v>
      </c>
      <c r="L292">
        <v>73700</v>
      </c>
      <c r="N292" s="4">
        <v>60000</v>
      </c>
    </row>
    <row r="293" spans="11:14" x14ac:dyDescent="0.3">
      <c r="K293" t="s">
        <v>53</v>
      </c>
      <c r="L293">
        <v>73000</v>
      </c>
      <c r="N293" s="3">
        <v>60000</v>
      </c>
    </row>
    <row r="294" spans="11:14" x14ac:dyDescent="0.3">
      <c r="K294" t="s">
        <v>53</v>
      </c>
      <c r="L294">
        <v>72000</v>
      </c>
      <c r="N294" s="4">
        <v>60000</v>
      </c>
    </row>
    <row r="295" spans="11:14" x14ac:dyDescent="0.3">
      <c r="K295" t="s">
        <v>53</v>
      </c>
      <c r="L295">
        <v>70000</v>
      </c>
      <c r="N295" s="3">
        <v>60000</v>
      </c>
    </row>
    <row r="296" spans="11:14" x14ac:dyDescent="0.3">
      <c r="K296" t="s">
        <v>53</v>
      </c>
      <c r="L296">
        <v>70000</v>
      </c>
      <c r="N296" s="4">
        <v>60000</v>
      </c>
    </row>
    <row r="297" spans="11:14" x14ac:dyDescent="0.3">
      <c r="K297" t="s">
        <v>53</v>
      </c>
      <c r="L297">
        <v>70000</v>
      </c>
      <c r="N297" s="3">
        <v>60000</v>
      </c>
    </row>
    <row r="298" spans="11:14" x14ac:dyDescent="0.3">
      <c r="K298" t="s">
        <v>53</v>
      </c>
      <c r="L298">
        <v>70000</v>
      </c>
      <c r="N298" s="4">
        <v>60000</v>
      </c>
    </row>
    <row r="299" spans="11:14" x14ac:dyDescent="0.3">
      <c r="K299" t="s">
        <v>53</v>
      </c>
      <c r="L299">
        <v>70000</v>
      </c>
      <c r="N299" s="3">
        <v>60000</v>
      </c>
    </row>
    <row r="300" spans="11:14" x14ac:dyDescent="0.3">
      <c r="K300" t="s">
        <v>53</v>
      </c>
      <c r="L300">
        <v>70000</v>
      </c>
      <c r="N300" s="4">
        <v>60000</v>
      </c>
    </row>
    <row r="301" spans="11:14" x14ac:dyDescent="0.3">
      <c r="K301" t="s">
        <v>53</v>
      </c>
      <c r="L301">
        <v>70000</v>
      </c>
      <c r="N301" s="3">
        <v>60000</v>
      </c>
    </row>
    <row r="302" spans="11:14" x14ac:dyDescent="0.3">
      <c r="K302" t="s">
        <v>53</v>
      </c>
      <c r="L302">
        <v>68000</v>
      </c>
      <c r="N302" s="4">
        <v>60000</v>
      </c>
    </row>
    <row r="303" spans="11:14" x14ac:dyDescent="0.3">
      <c r="K303" t="s">
        <v>53</v>
      </c>
      <c r="L303">
        <v>67000</v>
      </c>
      <c r="N303" s="3">
        <v>60000</v>
      </c>
    </row>
    <row r="304" spans="11:14" x14ac:dyDescent="0.3">
      <c r="K304" t="s">
        <v>53</v>
      </c>
      <c r="L304">
        <v>67000</v>
      </c>
      <c r="N304" s="4">
        <v>60000</v>
      </c>
    </row>
    <row r="305" spans="11:14" x14ac:dyDescent="0.3">
      <c r="K305" t="s">
        <v>53</v>
      </c>
      <c r="L305">
        <v>65000</v>
      </c>
      <c r="N305" s="3">
        <v>60000</v>
      </c>
    </row>
    <row r="306" spans="11:14" x14ac:dyDescent="0.3">
      <c r="K306" t="s">
        <v>53</v>
      </c>
      <c r="L306">
        <v>65000</v>
      </c>
      <c r="N306" s="4">
        <v>60000</v>
      </c>
    </row>
    <row r="307" spans="11:14" x14ac:dyDescent="0.3">
      <c r="K307" t="s">
        <v>53</v>
      </c>
      <c r="L307">
        <v>65000</v>
      </c>
      <c r="N307" s="3">
        <v>60000</v>
      </c>
    </row>
    <row r="308" spans="11:14" x14ac:dyDescent="0.3">
      <c r="K308" t="s">
        <v>53</v>
      </c>
      <c r="L308">
        <v>65000</v>
      </c>
      <c r="N308" s="4">
        <v>60000</v>
      </c>
    </row>
    <row r="309" spans="11:14" x14ac:dyDescent="0.3">
      <c r="K309" t="s">
        <v>53</v>
      </c>
      <c r="L309">
        <v>65000</v>
      </c>
      <c r="N309" s="3">
        <v>60000</v>
      </c>
    </row>
    <row r="310" spans="11:14" x14ac:dyDescent="0.3">
      <c r="K310" t="s">
        <v>53</v>
      </c>
      <c r="L310">
        <v>65000</v>
      </c>
      <c r="N310" s="4">
        <v>60000</v>
      </c>
    </row>
    <row r="311" spans="11:14" x14ac:dyDescent="0.3">
      <c r="K311" t="s">
        <v>53</v>
      </c>
      <c r="L311">
        <v>65000</v>
      </c>
      <c r="N311" s="3">
        <v>60000</v>
      </c>
    </row>
    <row r="312" spans="11:14" x14ac:dyDescent="0.3">
      <c r="K312" t="s">
        <v>53</v>
      </c>
      <c r="L312">
        <v>63000</v>
      </c>
      <c r="N312" s="4">
        <v>60000</v>
      </c>
    </row>
    <row r="313" spans="11:14" x14ac:dyDescent="0.3">
      <c r="K313" t="s">
        <v>53</v>
      </c>
      <c r="L313">
        <v>62000</v>
      </c>
      <c r="N313" s="3">
        <v>59064</v>
      </c>
    </row>
    <row r="314" spans="11:14" x14ac:dyDescent="0.3">
      <c r="K314" t="s">
        <v>53</v>
      </c>
      <c r="L314">
        <v>62000</v>
      </c>
      <c r="N314" s="4">
        <v>59000</v>
      </c>
    </row>
    <row r="315" spans="11:14" x14ac:dyDescent="0.3">
      <c r="K315" t="s">
        <v>53</v>
      </c>
      <c r="L315">
        <v>61500</v>
      </c>
      <c r="N315" s="3">
        <v>58000</v>
      </c>
    </row>
    <row r="316" spans="11:14" x14ac:dyDescent="0.3">
      <c r="K316" t="s">
        <v>53</v>
      </c>
      <c r="L316">
        <v>60000</v>
      </c>
      <c r="N316" s="4">
        <v>58000</v>
      </c>
    </row>
    <row r="317" spans="11:14" x14ac:dyDescent="0.3">
      <c r="K317" t="s">
        <v>53</v>
      </c>
      <c r="L317">
        <v>60000</v>
      </c>
      <c r="N317" s="3">
        <v>58000</v>
      </c>
    </row>
    <row r="318" spans="11:14" x14ac:dyDescent="0.3">
      <c r="K318" t="s">
        <v>53</v>
      </c>
      <c r="L318">
        <v>60000</v>
      </c>
      <c r="N318" s="4">
        <v>58000</v>
      </c>
    </row>
    <row r="319" spans="11:14" x14ac:dyDescent="0.3">
      <c r="K319" t="s">
        <v>53</v>
      </c>
      <c r="L319">
        <v>60000</v>
      </c>
      <c r="N319" s="3">
        <v>58000</v>
      </c>
    </row>
    <row r="320" spans="11:14" x14ac:dyDescent="0.3">
      <c r="K320" t="s">
        <v>53</v>
      </c>
      <c r="L320">
        <v>60000</v>
      </c>
      <c r="N320" s="4">
        <v>58000</v>
      </c>
    </row>
    <row r="321" spans="11:14" x14ac:dyDescent="0.3">
      <c r="K321" t="s">
        <v>53</v>
      </c>
      <c r="L321">
        <v>60000</v>
      </c>
      <c r="N321" s="3">
        <v>57000</v>
      </c>
    </row>
    <row r="322" spans="11:14" x14ac:dyDescent="0.3">
      <c r="K322" t="s">
        <v>53</v>
      </c>
      <c r="L322">
        <v>60000</v>
      </c>
      <c r="N322" s="4">
        <v>57000</v>
      </c>
    </row>
    <row r="323" spans="11:14" x14ac:dyDescent="0.3">
      <c r="K323" t="s">
        <v>53</v>
      </c>
      <c r="L323">
        <v>60000</v>
      </c>
      <c r="N323" s="3">
        <v>57000</v>
      </c>
    </row>
    <row r="324" spans="11:14" x14ac:dyDescent="0.3">
      <c r="K324" t="s">
        <v>53</v>
      </c>
      <c r="L324">
        <v>59000</v>
      </c>
      <c r="N324" s="4">
        <v>57000</v>
      </c>
    </row>
    <row r="325" spans="11:14" x14ac:dyDescent="0.3">
      <c r="K325" t="s">
        <v>53</v>
      </c>
      <c r="L325">
        <v>58000</v>
      </c>
      <c r="N325" s="3">
        <v>57000</v>
      </c>
    </row>
    <row r="326" spans="11:14" x14ac:dyDescent="0.3">
      <c r="K326" t="s">
        <v>53</v>
      </c>
      <c r="L326">
        <v>58000</v>
      </c>
      <c r="N326" s="4">
        <v>56400</v>
      </c>
    </row>
    <row r="327" spans="11:14" x14ac:dyDescent="0.3">
      <c r="K327" t="s">
        <v>53</v>
      </c>
      <c r="L327">
        <v>57600</v>
      </c>
      <c r="N327" s="3">
        <v>56000</v>
      </c>
    </row>
    <row r="328" spans="11:14" x14ac:dyDescent="0.3">
      <c r="K328" t="s">
        <v>53</v>
      </c>
      <c r="L328">
        <v>57000</v>
      </c>
      <c r="N328" s="4">
        <v>56000</v>
      </c>
    </row>
    <row r="329" spans="11:14" x14ac:dyDescent="0.3">
      <c r="K329" t="s">
        <v>53</v>
      </c>
      <c r="L329">
        <v>57000</v>
      </c>
      <c r="N329" s="3">
        <v>56000</v>
      </c>
    </row>
    <row r="330" spans="11:14" x14ac:dyDescent="0.3">
      <c r="K330" t="s">
        <v>53</v>
      </c>
      <c r="L330">
        <v>56000</v>
      </c>
      <c r="N330" s="4">
        <v>56000</v>
      </c>
    </row>
    <row r="331" spans="11:14" x14ac:dyDescent="0.3">
      <c r="K331" t="s">
        <v>53</v>
      </c>
      <c r="L331">
        <v>55200</v>
      </c>
      <c r="N331" s="3">
        <v>55200</v>
      </c>
    </row>
    <row r="332" spans="11:14" x14ac:dyDescent="0.3">
      <c r="K332" t="s">
        <v>53</v>
      </c>
      <c r="L332">
        <v>55000</v>
      </c>
      <c r="N332" s="4">
        <v>55000</v>
      </c>
    </row>
    <row r="333" spans="11:14" x14ac:dyDescent="0.3">
      <c r="K333" t="s">
        <v>53</v>
      </c>
      <c r="L333">
        <v>55000</v>
      </c>
      <c r="N333" s="3">
        <v>55000</v>
      </c>
    </row>
    <row r="334" spans="11:14" x14ac:dyDescent="0.3">
      <c r="K334" t="s">
        <v>53</v>
      </c>
      <c r="L334">
        <v>55000</v>
      </c>
      <c r="N334" s="4">
        <v>55000</v>
      </c>
    </row>
    <row r="335" spans="11:14" x14ac:dyDescent="0.3">
      <c r="K335" t="s">
        <v>53</v>
      </c>
      <c r="L335">
        <v>55000</v>
      </c>
      <c r="N335" s="3">
        <v>55000</v>
      </c>
    </row>
    <row r="336" spans="11:14" x14ac:dyDescent="0.3">
      <c r="K336" t="s">
        <v>53</v>
      </c>
      <c r="L336">
        <v>54000</v>
      </c>
      <c r="N336" s="4">
        <v>55000</v>
      </c>
    </row>
    <row r="337" spans="11:14" x14ac:dyDescent="0.3">
      <c r="K337" t="s">
        <v>53</v>
      </c>
      <c r="L337">
        <v>54000</v>
      </c>
      <c r="N337" s="3">
        <v>55000</v>
      </c>
    </row>
    <row r="338" spans="11:14" x14ac:dyDescent="0.3">
      <c r="K338" t="s">
        <v>53</v>
      </c>
      <c r="L338">
        <v>52500</v>
      </c>
      <c r="N338" s="4">
        <v>55000</v>
      </c>
    </row>
    <row r="339" spans="11:14" x14ac:dyDescent="0.3">
      <c r="K339" t="s">
        <v>53</v>
      </c>
      <c r="L339">
        <v>52000</v>
      </c>
      <c r="N339" s="3">
        <v>55000</v>
      </c>
    </row>
    <row r="340" spans="11:14" x14ac:dyDescent="0.3">
      <c r="K340" t="s">
        <v>53</v>
      </c>
      <c r="L340">
        <v>51000</v>
      </c>
      <c r="N340" s="4">
        <v>55000</v>
      </c>
    </row>
    <row r="341" spans="11:14" x14ac:dyDescent="0.3">
      <c r="K341" t="s">
        <v>53</v>
      </c>
      <c r="L341">
        <v>51000</v>
      </c>
      <c r="N341" s="3">
        <v>55000</v>
      </c>
    </row>
    <row r="342" spans="11:14" x14ac:dyDescent="0.3">
      <c r="K342" t="s">
        <v>53</v>
      </c>
      <c r="L342">
        <v>50500</v>
      </c>
      <c r="N342" s="4">
        <v>55000</v>
      </c>
    </row>
    <row r="343" spans="11:14" x14ac:dyDescent="0.3">
      <c r="K343" t="s">
        <v>53</v>
      </c>
      <c r="L343">
        <v>50000</v>
      </c>
      <c r="N343" s="3">
        <v>54000</v>
      </c>
    </row>
    <row r="344" spans="11:14" x14ac:dyDescent="0.3">
      <c r="K344" t="s">
        <v>53</v>
      </c>
      <c r="L344">
        <v>50000</v>
      </c>
      <c r="N344" s="4">
        <v>54000</v>
      </c>
    </row>
    <row r="345" spans="11:14" x14ac:dyDescent="0.3">
      <c r="K345" t="s">
        <v>53</v>
      </c>
      <c r="L345">
        <v>50000</v>
      </c>
      <c r="N345" s="3">
        <v>54000</v>
      </c>
    </row>
    <row r="346" spans="11:14" x14ac:dyDescent="0.3">
      <c r="K346" t="s">
        <v>53</v>
      </c>
      <c r="L346">
        <v>50000</v>
      </c>
      <c r="N346" s="4">
        <v>54000</v>
      </c>
    </row>
    <row r="347" spans="11:14" x14ac:dyDescent="0.3">
      <c r="K347" t="s">
        <v>53</v>
      </c>
      <c r="L347">
        <v>49850</v>
      </c>
      <c r="N347" s="3">
        <v>53000</v>
      </c>
    </row>
    <row r="348" spans="11:14" x14ac:dyDescent="0.3">
      <c r="K348" t="s">
        <v>53</v>
      </c>
      <c r="L348">
        <v>48000</v>
      </c>
      <c r="N348" s="4">
        <v>53000</v>
      </c>
    </row>
    <row r="349" spans="11:14" x14ac:dyDescent="0.3">
      <c r="K349" t="s">
        <v>53</v>
      </c>
      <c r="L349">
        <v>48000</v>
      </c>
      <c r="N349" s="3">
        <v>53000</v>
      </c>
    </row>
    <row r="350" spans="11:14" x14ac:dyDescent="0.3">
      <c r="K350" t="s">
        <v>53</v>
      </c>
      <c r="L350">
        <v>48000</v>
      </c>
      <c r="N350" s="4">
        <v>52800</v>
      </c>
    </row>
    <row r="351" spans="11:14" x14ac:dyDescent="0.3">
      <c r="K351" t="s">
        <v>53</v>
      </c>
      <c r="L351">
        <v>48000</v>
      </c>
      <c r="N351" s="3">
        <v>52000</v>
      </c>
    </row>
    <row r="352" spans="11:14" x14ac:dyDescent="0.3">
      <c r="K352" t="s">
        <v>53</v>
      </c>
      <c r="L352">
        <v>47000</v>
      </c>
      <c r="N352" s="4">
        <v>52000</v>
      </c>
    </row>
    <row r="353" spans="11:14" x14ac:dyDescent="0.3">
      <c r="K353" t="s">
        <v>53</v>
      </c>
      <c r="L353">
        <v>45000</v>
      </c>
      <c r="N353" s="3">
        <v>52000</v>
      </c>
    </row>
    <row r="354" spans="11:14" x14ac:dyDescent="0.3">
      <c r="K354" t="s">
        <v>53</v>
      </c>
      <c r="L354">
        <v>42000</v>
      </c>
      <c r="N354" s="4">
        <v>50400</v>
      </c>
    </row>
    <row r="355" spans="11:14" x14ac:dyDescent="0.3">
      <c r="K355" t="s">
        <v>53</v>
      </c>
      <c r="L355">
        <v>42000</v>
      </c>
      <c r="N355" s="3">
        <v>50000</v>
      </c>
    </row>
    <row r="356" spans="11:14" x14ac:dyDescent="0.3">
      <c r="K356" t="s">
        <v>53</v>
      </c>
      <c r="L356">
        <v>40000</v>
      </c>
      <c r="N356" s="4">
        <v>50000</v>
      </c>
    </row>
    <row r="357" spans="11:14" x14ac:dyDescent="0.3">
      <c r="K357" t="s">
        <v>53</v>
      </c>
      <c r="L357">
        <v>38000</v>
      </c>
      <c r="N357" s="3">
        <v>50000</v>
      </c>
    </row>
    <row r="358" spans="11:14" x14ac:dyDescent="0.3">
      <c r="K358" t="s">
        <v>53</v>
      </c>
      <c r="L358">
        <v>37500</v>
      </c>
      <c r="N358" s="4">
        <v>50000</v>
      </c>
    </row>
    <row r="359" spans="11:14" x14ac:dyDescent="0.3">
      <c r="K359" t="s">
        <v>53</v>
      </c>
      <c r="L359">
        <v>32000</v>
      </c>
      <c r="N359" s="3">
        <v>50000</v>
      </c>
    </row>
    <row r="360" spans="11:14" x14ac:dyDescent="0.3">
      <c r="K360" t="s">
        <v>53</v>
      </c>
      <c r="L360">
        <v>25300</v>
      </c>
      <c r="N360" s="4">
        <v>50000</v>
      </c>
    </row>
    <row r="361" spans="11:14" x14ac:dyDescent="0.3">
      <c r="K361" t="s">
        <v>53</v>
      </c>
      <c r="L361">
        <v>22000</v>
      </c>
      <c r="N361" s="3">
        <v>50000</v>
      </c>
    </row>
    <row r="362" spans="11:14" x14ac:dyDescent="0.3">
      <c r="K362" t="s">
        <v>53</v>
      </c>
      <c r="L362">
        <v>20000</v>
      </c>
      <c r="N362" s="4">
        <v>49000</v>
      </c>
    </row>
    <row r="363" spans="11:14" x14ac:dyDescent="0.3">
      <c r="K363" t="s">
        <v>53</v>
      </c>
      <c r="L363">
        <v>20000</v>
      </c>
      <c r="N363" s="3">
        <v>49000</v>
      </c>
    </row>
    <row r="364" spans="11:14" x14ac:dyDescent="0.3">
      <c r="K364" t="s">
        <v>505</v>
      </c>
      <c r="L364">
        <v>30000</v>
      </c>
      <c r="N364" s="4">
        <v>48000</v>
      </c>
    </row>
    <row r="365" spans="11:14" x14ac:dyDescent="0.3">
      <c r="K365" t="s">
        <v>359</v>
      </c>
      <c r="L365">
        <v>80000</v>
      </c>
      <c r="N365" s="3">
        <v>48000</v>
      </c>
    </row>
    <row r="366" spans="11:14" x14ac:dyDescent="0.3">
      <c r="K366" t="s">
        <v>145</v>
      </c>
      <c r="L366">
        <v>55000</v>
      </c>
      <c r="N366" s="4">
        <v>48000</v>
      </c>
    </row>
    <row r="367" spans="11:14" x14ac:dyDescent="0.3">
      <c r="K367" t="s">
        <v>149</v>
      </c>
      <c r="L367">
        <v>64000</v>
      </c>
      <c r="N367" s="3">
        <v>48000</v>
      </c>
    </row>
    <row r="368" spans="11:14" x14ac:dyDescent="0.3">
      <c r="K368" t="s">
        <v>38</v>
      </c>
      <c r="L368">
        <v>75000</v>
      </c>
      <c r="N368" s="4">
        <v>47500</v>
      </c>
    </row>
    <row r="369" spans="11:14" x14ac:dyDescent="0.3">
      <c r="K369" t="s">
        <v>38</v>
      </c>
      <c r="L369">
        <v>70000</v>
      </c>
      <c r="N369" s="3">
        <v>46000</v>
      </c>
    </row>
    <row r="370" spans="11:14" x14ac:dyDescent="0.3">
      <c r="K370" t="s">
        <v>38</v>
      </c>
      <c r="L370">
        <v>70000</v>
      </c>
      <c r="N370" s="4">
        <v>46000</v>
      </c>
    </row>
    <row r="371" spans="11:14" x14ac:dyDescent="0.3">
      <c r="K371" t="s">
        <v>38</v>
      </c>
      <c r="L371">
        <v>70000</v>
      </c>
      <c r="N371" s="3">
        <v>45000</v>
      </c>
    </row>
    <row r="372" spans="11:14" x14ac:dyDescent="0.3">
      <c r="K372" t="s">
        <v>38</v>
      </c>
      <c r="L372">
        <v>60000</v>
      </c>
      <c r="N372" s="4">
        <v>45000</v>
      </c>
    </row>
    <row r="373" spans="11:14" x14ac:dyDescent="0.3">
      <c r="K373" t="s">
        <v>38</v>
      </c>
      <c r="L373">
        <v>60000</v>
      </c>
      <c r="N373" s="3">
        <v>45000</v>
      </c>
    </row>
    <row r="374" spans="11:14" x14ac:dyDescent="0.3">
      <c r="K374" t="s">
        <v>38</v>
      </c>
      <c r="L374">
        <v>60000</v>
      </c>
      <c r="N374" s="4">
        <v>43500</v>
      </c>
    </row>
    <row r="375" spans="11:14" x14ac:dyDescent="0.3">
      <c r="K375" t="s">
        <v>38</v>
      </c>
      <c r="L375">
        <v>56000</v>
      </c>
      <c r="N375" s="3">
        <v>42000</v>
      </c>
    </row>
    <row r="376" spans="11:14" x14ac:dyDescent="0.3">
      <c r="K376" t="s">
        <v>38</v>
      </c>
      <c r="L376">
        <v>53000</v>
      </c>
      <c r="N376" s="4">
        <v>42000</v>
      </c>
    </row>
    <row r="377" spans="11:14" x14ac:dyDescent="0.3">
      <c r="K377" t="s">
        <v>38</v>
      </c>
      <c r="L377">
        <v>50400</v>
      </c>
      <c r="N377" s="3">
        <v>42000</v>
      </c>
    </row>
    <row r="378" spans="11:14" x14ac:dyDescent="0.3">
      <c r="K378" t="s">
        <v>38</v>
      </c>
      <c r="L378">
        <v>45000</v>
      </c>
      <c r="N378" s="4">
        <v>36000</v>
      </c>
    </row>
    <row r="379" spans="11:14" x14ac:dyDescent="0.3">
      <c r="K379" t="s">
        <v>38</v>
      </c>
      <c r="L379">
        <v>45000</v>
      </c>
      <c r="N379" s="3">
        <v>36000</v>
      </c>
    </row>
    <row r="380" spans="11:14" x14ac:dyDescent="0.3">
      <c r="K380" t="s">
        <v>38</v>
      </c>
      <c r="L380">
        <v>45000</v>
      </c>
      <c r="N380" s="4">
        <v>34000</v>
      </c>
    </row>
    <row r="381" spans="11:14" x14ac:dyDescent="0.3">
      <c r="K381" t="s">
        <v>38</v>
      </c>
      <c r="L381">
        <v>42000</v>
      </c>
      <c r="N381" s="3">
        <v>30000</v>
      </c>
    </row>
    <row r="382" spans="11:14" x14ac:dyDescent="0.3">
      <c r="K382" t="s">
        <v>38</v>
      </c>
      <c r="L382">
        <v>42000</v>
      </c>
      <c r="N382" s="4">
        <v>30000</v>
      </c>
    </row>
    <row r="383" spans="11:14" x14ac:dyDescent="0.3">
      <c r="K383" t="s">
        <v>38</v>
      </c>
      <c r="L383">
        <v>36000</v>
      </c>
      <c r="N383" s="3">
        <v>29000</v>
      </c>
    </row>
    <row r="384" spans="11:14" x14ac:dyDescent="0.3">
      <c r="K384" t="s">
        <v>27</v>
      </c>
      <c r="L384">
        <v>140000</v>
      </c>
      <c r="N384" s="4">
        <v>28800</v>
      </c>
    </row>
    <row r="385" spans="11:14" x14ac:dyDescent="0.3">
      <c r="K385" t="s">
        <v>27</v>
      </c>
      <c r="L385">
        <v>124000</v>
      </c>
      <c r="N385" s="3">
        <v>26400</v>
      </c>
    </row>
    <row r="386" spans="11:14" x14ac:dyDescent="0.3">
      <c r="K386" t="s">
        <v>27</v>
      </c>
      <c r="L386">
        <v>105000</v>
      </c>
      <c r="N386" s="4">
        <v>24000</v>
      </c>
    </row>
    <row r="387" spans="11:14" x14ac:dyDescent="0.3">
      <c r="K387" t="s">
        <v>27</v>
      </c>
      <c r="L387">
        <v>103000</v>
      </c>
      <c r="N387" s="3">
        <v>21120</v>
      </c>
    </row>
    <row r="388" spans="11:14" x14ac:dyDescent="0.3">
      <c r="K388" t="s">
        <v>27</v>
      </c>
      <c r="L388">
        <v>94000</v>
      </c>
      <c r="N388" s="4">
        <v>21000</v>
      </c>
    </row>
    <row r="389" spans="11:14" x14ac:dyDescent="0.3">
      <c r="K389" t="s">
        <v>27</v>
      </c>
      <c r="L389">
        <v>93000</v>
      </c>
      <c r="N389" s="3">
        <v>16320</v>
      </c>
    </row>
    <row r="390" spans="11:14" x14ac:dyDescent="0.3">
      <c r="K390" t="s">
        <v>27</v>
      </c>
      <c r="L390">
        <v>90000</v>
      </c>
      <c r="N390" s="4">
        <v>14712</v>
      </c>
    </row>
    <row r="391" spans="11:14" x14ac:dyDescent="0.3">
      <c r="K391" t="s">
        <v>27</v>
      </c>
      <c r="L391">
        <v>90000</v>
      </c>
    </row>
    <row r="392" spans="11:14" x14ac:dyDescent="0.3">
      <c r="K392" t="s">
        <v>27</v>
      </c>
      <c r="L392">
        <v>90000</v>
      </c>
    </row>
    <row r="393" spans="11:14" x14ac:dyDescent="0.3">
      <c r="K393" t="s">
        <v>27</v>
      </c>
      <c r="L393">
        <v>90000</v>
      </c>
    </row>
    <row r="394" spans="11:14" x14ac:dyDescent="0.3">
      <c r="K394" t="s">
        <v>27</v>
      </c>
      <c r="L394">
        <v>90000</v>
      </c>
    </row>
    <row r="395" spans="11:14" x14ac:dyDescent="0.3">
      <c r="K395" t="s">
        <v>27</v>
      </c>
      <c r="L395">
        <v>85000</v>
      </c>
    </row>
    <row r="396" spans="11:14" x14ac:dyDescent="0.3">
      <c r="K396" t="s">
        <v>27</v>
      </c>
      <c r="L396">
        <v>85000</v>
      </c>
    </row>
    <row r="397" spans="11:14" x14ac:dyDescent="0.3">
      <c r="K397" t="s">
        <v>27</v>
      </c>
      <c r="L397">
        <v>83000</v>
      </c>
    </row>
    <row r="398" spans="11:14" x14ac:dyDescent="0.3">
      <c r="K398" t="s">
        <v>27</v>
      </c>
      <c r="L398">
        <v>82000</v>
      </c>
    </row>
    <row r="399" spans="11:14" x14ac:dyDescent="0.3">
      <c r="K399" t="s">
        <v>27</v>
      </c>
      <c r="L399">
        <v>81000</v>
      </c>
    </row>
    <row r="400" spans="11:14" x14ac:dyDescent="0.3">
      <c r="K400" t="s">
        <v>27</v>
      </c>
      <c r="L400">
        <v>80000</v>
      </c>
    </row>
    <row r="401" spans="11:12" x14ac:dyDescent="0.3">
      <c r="K401" t="s">
        <v>27</v>
      </c>
      <c r="L401">
        <v>80000</v>
      </c>
    </row>
    <row r="402" spans="11:12" x14ac:dyDescent="0.3">
      <c r="K402" t="s">
        <v>27</v>
      </c>
      <c r="L402">
        <v>80000</v>
      </c>
    </row>
    <row r="403" spans="11:12" x14ac:dyDescent="0.3">
      <c r="K403" t="s">
        <v>27</v>
      </c>
      <c r="L403">
        <v>78000</v>
      </c>
    </row>
    <row r="404" spans="11:12" x14ac:dyDescent="0.3">
      <c r="K404" t="s">
        <v>27</v>
      </c>
      <c r="L404">
        <v>78000</v>
      </c>
    </row>
    <row r="405" spans="11:12" x14ac:dyDescent="0.3">
      <c r="K405" t="s">
        <v>27</v>
      </c>
      <c r="L405">
        <v>77000</v>
      </c>
    </row>
    <row r="406" spans="11:12" x14ac:dyDescent="0.3">
      <c r="K406" t="s">
        <v>27</v>
      </c>
      <c r="L406">
        <v>76000</v>
      </c>
    </row>
    <row r="407" spans="11:12" x14ac:dyDescent="0.3">
      <c r="K407" t="s">
        <v>27</v>
      </c>
      <c r="L407">
        <v>75000</v>
      </c>
    </row>
    <row r="408" spans="11:12" x14ac:dyDescent="0.3">
      <c r="K408" t="s">
        <v>27</v>
      </c>
      <c r="L408">
        <v>75000</v>
      </c>
    </row>
    <row r="409" spans="11:12" x14ac:dyDescent="0.3">
      <c r="K409" t="s">
        <v>27</v>
      </c>
      <c r="L409">
        <v>75000</v>
      </c>
    </row>
    <row r="410" spans="11:12" x14ac:dyDescent="0.3">
      <c r="K410" t="s">
        <v>27</v>
      </c>
      <c r="L410">
        <v>74000</v>
      </c>
    </row>
    <row r="411" spans="11:12" x14ac:dyDescent="0.3">
      <c r="K411" t="s">
        <v>27</v>
      </c>
      <c r="L411">
        <v>72000</v>
      </c>
    </row>
    <row r="412" spans="11:12" x14ac:dyDescent="0.3">
      <c r="K412" t="s">
        <v>27</v>
      </c>
      <c r="L412">
        <v>72000</v>
      </c>
    </row>
    <row r="413" spans="11:12" x14ac:dyDescent="0.3">
      <c r="K413" t="s">
        <v>27</v>
      </c>
      <c r="L413">
        <v>72000</v>
      </c>
    </row>
    <row r="414" spans="11:12" x14ac:dyDescent="0.3">
      <c r="K414" t="s">
        <v>27</v>
      </c>
      <c r="L414">
        <v>70200</v>
      </c>
    </row>
    <row r="415" spans="11:12" x14ac:dyDescent="0.3">
      <c r="K415" t="s">
        <v>27</v>
      </c>
      <c r="L415">
        <v>70000</v>
      </c>
    </row>
    <row r="416" spans="11:12" x14ac:dyDescent="0.3">
      <c r="K416" t="s">
        <v>27</v>
      </c>
      <c r="L416">
        <v>70000</v>
      </c>
    </row>
    <row r="417" spans="11:12" x14ac:dyDescent="0.3">
      <c r="K417" t="s">
        <v>27</v>
      </c>
      <c r="L417">
        <v>70000</v>
      </c>
    </row>
    <row r="418" spans="11:12" x14ac:dyDescent="0.3">
      <c r="K418" t="s">
        <v>27</v>
      </c>
      <c r="L418">
        <v>70000</v>
      </c>
    </row>
    <row r="419" spans="11:12" x14ac:dyDescent="0.3">
      <c r="K419" t="s">
        <v>27</v>
      </c>
      <c r="L419">
        <v>70000</v>
      </c>
    </row>
    <row r="420" spans="11:12" x14ac:dyDescent="0.3">
      <c r="K420" t="s">
        <v>27</v>
      </c>
      <c r="L420">
        <v>70000</v>
      </c>
    </row>
    <row r="421" spans="11:12" x14ac:dyDescent="0.3">
      <c r="K421" t="s">
        <v>27</v>
      </c>
      <c r="L421">
        <v>70000</v>
      </c>
    </row>
    <row r="422" spans="11:12" x14ac:dyDescent="0.3">
      <c r="K422" t="s">
        <v>27</v>
      </c>
      <c r="L422">
        <v>67500</v>
      </c>
    </row>
    <row r="423" spans="11:12" x14ac:dyDescent="0.3">
      <c r="K423" t="s">
        <v>27</v>
      </c>
      <c r="L423">
        <v>67000</v>
      </c>
    </row>
    <row r="424" spans="11:12" x14ac:dyDescent="0.3">
      <c r="K424" t="s">
        <v>27</v>
      </c>
      <c r="L424">
        <v>66000</v>
      </c>
    </row>
    <row r="425" spans="11:12" x14ac:dyDescent="0.3">
      <c r="K425" t="s">
        <v>27</v>
      </c>
      <c r="L425">
        <v>65000</v>
      </c>
    </row>
    <row r="426" spans="11:12" x14ac:dyDescent="0.3">
      <c r="K426" t="s">
        <v>27</v>
      </c>
      <c r="L426">
        <v>65000</v>
      </c>
    </row>
    <row r="427" spans="11:12" x14ac:dyDescent="0.3">
      <c r="K427" t="s">
        <v>27</v>
      </c>
      <c r="L427">
        <v>65000</v>
      </c>
    </row>
    <row r="428" spans="11:12" x14ac:dyDescent="0.3">
      <c r="K428" t="s">
        <v>27</v>
      </c>
      <c r="L428">
        <v>64800</v>
      </c>
    </row>
    <row r="429" spans="11:12" x14ac:dyDescent="0.3">
      <c r="K429" t="s">
        <v>27</v>
      </c>
      <c r="L429">
        <v>62000</v>
      </c>
    </row>
    <row r="430" spans="11:12" x14ac:dyDescent="0.3">
      <c r="K430" t="s">
        <v>27</v>
      </c>
      <c r="L430">
        <v>62000</v>
      </c>
    </row>
    <row r="431" spans="11:12" x14ac:dyDescent="0.3">
      <c r="K431" t="s">
        <v>27</v>
      </c>
      <c r="L431">
        <v>62000</v>
      </c>
    </row>
    <row r="432" spans="11:12" x14ac:dyDescent="0.3">
      <c r="K432" t="s">
        <v>27</v>
      </c>
      <c r="L432">
        <v>62000</v>
      </c>
    </row>
    <row r="433" spans="11:12" x14ac:dyDescent="0.3">
      <c r="K433" t="s">
        <v>27</v>
      </c>
      <c r="L433">
        <v>60000</v>
      </c>
    </row>
    <row r="434" spans="11:12" x14ac:dyDescent="0.3">
      <c r="K434" t="s">
        <v>27</v>
      </c>
      <c r="L434">
        <v>60000</v>
      </c>
    </row>
    <row r="435" spans="11:12" x14ac:dyDescent="0.3">
      <c r="K435" t="s">
        <v>27</v>
      </c>
      <c r="L435">
        <v>60000</v>
      </c>
    </row>
    <row r="436" spans="11:12" x14ac:dyDescent="0.3">
      <c r="K436" t="s">
        <v>27</v>
      </c>
      <c r="L436">
        <v>58800</v>
      </c>
    </row>
    <row r="437" spans="11:12" x14ac:dyDescent="0.3">
      <c r="K437" t="s">
        <v>27</v>
      </c>
      <c r="L437">
        <v>55000</v>
      </c>
    </row>
    <row r="438" spans="11:12" x14ac:dyDescent="0.3">
      <c r="K438" t="s">
        <v>27</v>
      </c>
      <c r="L438">
        <v>52500</v>
      </c>
    </row>
    <row r="439" spans="11:12" x14ac:dyDescent="0.3">
      <c r="K439" t="s">
        <v>27</v>
      </c>
      <c r="L439">
        <v>37000</v>
      </c>
    </row>
    <row r="440" spans="11:12" x14ac:dyDescent="0.3">
      <c r="K440" t="s">
        <v>27</v>
      </c>
      <c r="L440">
        <v>30000</v>
      </c>
    </row>
    <row r="441" spans="11:12" x14ac:dyDescent="0.3">
      <c r="K441" t="s">
        <v>120</v>
      </c>
      <c r="L441">
        <v>100000</v>
      </c>
    </row>
    <row r="442" spans="11:12" x14ac:dyDescent="0.3">
      <c r="K442" t="s">
        <v>223</v>
      </c>
      <c r="L442">
        <v>100000</v>
      </c>
    </row>
    <row r="443" spans="11:12" x14ac:dyDescent="0.3">
      <c r="K443" t="s">
        <v>256</v>
      </c>
      <c r="L443">
        <v>78000</v>
      </c>
    </row>
    <row r="444" spans="11:12" x14ac:dyDescent="0.3">
      <c r="K444" t="s">
        <v>69</v>
      </c>
      <c r="L444">
        <v>105000</v>
      </c>
    </row>
    <row r="445" spans="11:12" x14ac:dyDescent="0.3">
      <c r="K445" t="s">
        <v>69</v>
      </c>
      <c r="L445">
        <v>98000</v>
      </c>
    </row>
    <row r="446" spans="11:12" x14ac:dyDescent="0.3">
      <c r="K446" t="s">
        <v>69</v>
      </c>
      <c r="L446">
        <v>95000</v>
      </c>
    </row>
    <row r="447" spans="11:12" x14ac:dyDescent="0.3">
      <c r="K447" t="s">
        <v>69</v>
      </c>
      <c r="L447">
        <v>85000</v>
      </c>
    </row>
    <row r="448" spans="11:12" x14ac:dyDescent="0.3">
      <c r="K448" t="s">
        <v>69</v>
      </c>
      <c r="L448">
        <v>85000</v>
      </c>
    </row>
    <row r="449" spans="11:12" x14ac:dyDescent="0.3">
      <c r="K449" t="s">
        <v>69</v>
      </c>
      <c r="L449">
        <v>85000</v>
      </c>
    </row>
    <row r="450" spans="11:12" x14ac:dyDescent="0.3">
      <c r="K450" t="s">
        <v>69</v>
      </c>
      <c r="L450">
        <v>85000</v>
      </c>
    </row>
    <row r="451" spans="11:12" x14ac:dyDescent="0.3">
      <c r="K451" t="s">
        <v>253</v>
      </c>
      <c r="L451">
        <v>80000</v>
      </c>
    </row>
    <row r="452" spans="11:12" x14ac:dyDescent="0.3">
      <c r="K452" t="s">
        <v>69</v>
      </c>
      <c r="L452">
        <v>80000</v>
      </c>
    </row>
    <row r="453" spans="11:12" x14ac:dyDescent="0.3">
      <c r="K453" t="s">
        <v>69</v>
      </c>
      <c r="L453">
        <v>80000</v>
      </c>
    </row>
    <row r="454" spans="11:12" x14ac:dyDescent="0.3">
      <c r="K454" t="s">
        <v>69</v>
      </c>
      <c r="L454">
        <v>78000</v>
      </c>
    </row>
    <row r="455" spans="11:12" x14ac:dyDescent="0.3">
      <c r="K455" t="s">
        <v>355</v>
      </c>
      <c r="L455">
        <v>65000</v>
      </c>
    </row>
    <row r="456" spans="11:12" x14ac:dyDescent="0.3">
      <c r="K456" t="s">
        <v>410</v>
      </c>
      <c r="L456">
        <v>130000</v>
      </c>
    </row>
    <row r="457" spans="11:12" x14ac:dyDescent="0.3">
      <c r="K457" t="s">
        <v>110</v>
      </c>
      <c r="L457">
        <v>45000</v>
      </c>
    </row>
    <row r="458" spans="11:12" x14ac:dyDescent="0.3">
      <c r="K458" t="s">
        <v>246</v>
      </c>
      <c r="L458">
        <v>200000</v>
      </c>
    </row>
    <row r="459" spans="11:12" x14ac:dyDescent="0.3">
      <c r="K459" t="s">
        <v>25</v>
      </c>
      <c r="L459">
        <v>110000</v>
      </c>
    </row>
    <row r="460" spans="11:12" x14ac:dyDescent="0.3">
      <c r="K460" t="s">
        <v>25</v>
      </c>
      <c r="L460">
        <v>105000</v>
      </c>
    </row>
    <row r="461" spans="11:12" x14ac:dyDescent="0.3">
      <c r="K461" t="s">
        <v>25</v>
      </c>
      <c r="L461">
        <v>105000</v>
      </c>
    </row>
    <row r="462" spans="11:12" x14ac:dyDescent="0.3">
      <c r="K462" t="s">
        <v>25</v>
      </c>
      <c r="L462">
        <v>100000</v>
      </c>
    </row>
    <row r="463" spans="11:12" x14ac:dyDescent="0.3">
      <c r="K463" t="s">
        <v>25</v>
      </c>
      <c r="L463">
        <v>85000</v>
      </c>
    </row>
    <row r="464" spans="11:12" x14ac:dyDescent="0.3">
      <c r="K464" t="s">
        <v>25</v>
      </c>
      <c r="L464">
        <v>85000</v>
      </c>
    </row>
    <row r="465" spans="11:12" x14ac:dyDescent="0.3">
      <c r="K465" t="s">
        <v>25</v>
      </c>
      <c r="L465">
        <v>85000</v>
      </c>
    </row>
    <row r="466" spans="11:12" x14ac:dyDescent="0.3">
      <c r="K466" t="s">
        <v>25</v>
      </c>
      <c r="L466">
        <v>84000</v>
      </c>
    </row>
    <row r="467" spans="11:12" x14ac:dyDescent="0.3">
      <c r="K467" t="s">
        <v>25</v>
      </c>
      <c r="L467">
        <v>82500</v>
      </c>
    </row>
    <row r="468" spans="11:12" x14ac:dyDescent="0.3">
      <c r="K468" t="s">
        <v>25</v>
      </c>
      <c r="L468">
        <v>80000</v>
      </c>
    </row>
    <row r="469" spans="11:12" x14ac:dyDescent="0.3">
      <c r="K469" t="s">
        <v>25</v>
      </c>
      <c r="L469">
        <v>80000</v>
      </c>
    </row>
    <row r="470" spans="11:12" x14ac:dyDescent="0.3">
      <c r="K470" t="s">
        <v>25</v>
      </c>
      <c r="L470">
        <v>80000</v>
      </c>
    </row>
    <row r="471" spans="11:12" x14ac:dyDescent="0.3">
      <c r="K471" t="s">
        <v>25</v>
      </c>
      <c r="L471">
        <v>80000</v>
      </c>
    </row>
    <row r="472" spans="11:12" x14ac:dyDescent="0.3">
      <c r="K472" t="s">
        <v>25</v>
      </c>
      <c r="L472">
        <v>79000</v>
      </c>
    </row>
    <row r="473" spans="11:12" x14ac:dyDescent="0.3">
      <c r="K473" t="s">
        <v>25</v>
      </c>
      <c r="L473">
        <v>79000</v>
      </c>
    </row>
    <row r="474" spans="11:12" x14ac:dyDescent="0.3">
      <c r="K474" t="s">
        <v>25</v>
      </c>
      <c r="L474">
        <v>78000</v>
      </c>
    </row>
    <row r="475" spans="11:12" x14ac:dyDescent="0.3">
      <c r="K475" t="s">
        <v>25</v>
      </c>
      <c r="L475">
        <v>77250</v>
      </c>
    </row>
    <row r="476" spans="11:12" x14ac:dyDescent="0.3">
      <c r="K476" t="s">
        <v>25</v>
      </c>
      <c r="L476">
        <v>75000</v>
      </c>
    </row>
    <row r="477" spans="11:12" x14ac:dyDescent="0.3">
      <c r="K477" t="s">
        <v>25</v>
      </c>
      <c r="L477">
        <v>75000</v>
      </c>
    </row>
    <row r="478" spans="11:12" x14ac:dyDescent="0.3">
      <c r="K478" t="s">
        <v>25</v>
      </c>
      <c r="L478">
        <v>74000</v>
      </c>
    </row>
    <row r="479" spans="11:12" x14ac:dyDescent="0.3">
      <c r="K479" t="s">
        <v>25</v>
      </c>
      <c r="L479">
        <v>74000</v>
      </c>
    </row>
    <row r="480" spans="11:12" x14ac:dyDescent="0.3">
      <c r="K480" t="s">
        <v>25</v>
      </c>
      <c r="L480">
        <v>74000</v>
      </c>
    </row>
    <row r="481" spans="11:12" x14ac:dyDescent="0.3">
      <c r="K481" t="s">
        <v>25</v>
      </c>
      <c r="L481">
        <v>73500</v>
      </c>
    </row>
    <row r="482" spans="11:12" x14ac:dyDescent="0.3">
      <c r="K482" t="s">
        <v>25</v>
      </c>
      <c r="L482">
        <v>73000</v>
      </c>
    </row>
    <row r="483" spans="11:12" x14ac:dyDescent="0.3">
      <c r="K483" t="s">
        <v>25</v>
      </c>
      <c r="L483">
        <v>72000</v>
      </c>
    </row>
    <row r="484" spans="11:12" x14ac:dyDescent="0.3">
      <c r="K484" t="s">
        <v>25</v>
      </c>
      <c r="L484">
        <v>72000</v>
      </c>
    </row>
    <row r="485" spans="11:12" x14ac:dyDescent="0.3">
      <c r="K485" t="s">
        <v>25</v>
      </c>
      <c r="L485">
        <v>72000</v>
      </c>
    </row>
    <row r="486" spans="11:12" x14ac:dyDescent="0.3">
      <c r="K486" t="s">
        <v>25</v>
      </c>
      <c r="L486">
        <v>71060</v>
      </c>
    </row>
    <row r="487" spans="11:12" x14ac:dyDescent="0.3">
      <c r="K487" t="s">
        <v>25</v>
      </c>
      <c r="L487">
        <v>70000</v>
      </c>
    </row>
    <row r="488" spans="11:12" x14ac:dyDescent="0.3">
      <c r="K488" t="s">
        <v>25</v>
      </c>
      <c r="L488">
        <v>70000</v>
      </c>
    </row>
    <row r="489" spans="11:12" x14ac:dyDescent="0.3">
      <c r="K489" t="s">
        <v>25</v>
      </c>
      <c r="L489">
        <v>70000</v>
      </c>
    </row>
    <row r="490" spans="11:12" x14ac:dyDescent="0.3">
      <c r="K490" t="s">
        <v>25</v>
      </c>
      <c r="L490">
        <v>70000</v>
      </c>
    </row>
    <row r="491" spans="11:12" x14ac:dyDescent="0.3">
      <c r="K491" t="s">
        <v>25</v>
      </c>
      <c r="L491">
        <v>70000</v>
      </c>
    </row>
    <row r="492" spans="11:12" x14ac:dyDescent="0.3">
      <c r="K492" t="s">
        <v>25</v>
      </c>
      <c r="L492">
        <v>70000</v>
      </c>
    </row>
    <row r="493" spans="11:12" x14ac:dyDescent="0.3">
      <c r="K493" t="s">
        <v>25</v>
      </c>
      <c r="L493">
        <v>69000</v>
      </c>
    </row>
    <row r="494" spans="11:12" x14ac:dyDescent="0.3">
      <c r="K494" t="s">
        <v>25</v>
      </c>
      <c r="L494">
        <v>68250</v>
      </c>
    </row>
    <row r="495" spans="11:12" x14ac:dyDescent="0.3">
      <c r="K495" t="s">
        <v>25</v>
      </c>
      <c r="L495">
        <v>68000</v>
      </c>
    </row>
    <row r="496" spans="11:12" x14ac:dyDescent="0.3">
      <c r="K496" t="s">
        <v>25</v>
      </c>
      <c r="L496">
        <v>68000</v>
      </c>
    </row>
    <row r="497" spans="11:12" x14ac:dyDescent="0.3">
      <c r="K497" t="s">
        <v>25</v>
      </c>
      <c r="L497">
        <v>68000</v>
      </c>
    </row>
    <row r="498" spans="11:12" x14ac:dyDescent="0.3">
      <c r="K498" t="s">
        <v>25</v>
      </c>
      <c r="L498">
        <v>66500</v>
      </c>
    </row>
    <row r="499" spans="11:12" x14ac:dyDescent="0.3">
      <c r="K499" t="s">
        <v>25</v>
      </c>
      <c r="L499">
        <v>66000</v>
      </c>
    </row>
    <row r="500" spans="11:12" x14ac:dyDescent="0.3">
      <c r="K500" t="s">
        <v>25</v>
      </c>
      <c r="L500">
        <v>66000</v>
      </c>
    </row>
    <row r="501" spans="11:12" x14ac:dyDescent="0.3">
      <c r="K501" t="s">
        <v>25</v>
      </c>
      <c r="L501">
        <v>66000</v>
      </c>
    </row>
    <row r="502" spans="11:12" x14ac:dyDescent="0.3">
      <c r="K502" t="s">
        <v>25</v>
      </c>
      <c r="L502">
        <v>66000</v>
      </c>
    </row>
    <row r="503" spans="11:12" x14ac:dyDescent="0.3">
      <c r="K503" t="s">
        <v>25</v>
      </c>
      <c r="L503">
        <v>65000</v>
      </c>
    </row>
    <row r="504" spans="11:12" x14ac:dyDescent="0.3">
      <c r="K504" t="s">
        <v>25</v>
      </c>
      <c r="L504">
        <v>65000</v>
      </c>
    </row>
    <row r="505" spans="11:12" x14ac:dyDescent="0.3">
      <c r="K505" t="s">
        <v>25</v>
      </c>
      <c r="L505">
        <v>65000</v>
      </c>
    </row>
    <row r="506" spans="11:12" x14ac:dyDescent="0.3">
      <c r="K506" t="s">
        <v>25</v>
      </c>
      <c r="L506">
        <v>64000</v>
      </c>
    </row>
    <row r="507" spans="11:12" x14ac:dyDescent="0.3">
      <c r="K507" t="s">
        <v>25</v>
      </c>
      <c r="L507">
        <v>64000</v>
      </c>
    </row>
    <row r="508" spans="11:12" x14ac:dyDescent="0.3">
      <c r="K508" t="s">
        <v>25</v>
      </c>
      <c r="L508">
        <v>63000</v>
      </c>
    </row>
    <row r="509" spans="11:12" x14ac:dyDescent="0.3">
      <c r="K509" t="s">
        <v>25</v>
      </c>
      <c r="L509">
        <v>62000</v>
      </c>
    </row>
    <row r="510" spans="11:12" x14ac:dyDescent="0.3">
      <c r="K510" t="s">
        <v>25</v>
      </c>
      <c r="L510">
        <v>62000</v>
      </c>
    </row>
    <row r="511" spans="11:12" x14ac:dyDescent="0.3">
      <c r="K511" t="s">
        <v>25</v>
      </c>
      <c r="L511">
        <v>60000</v>
      </c>
    </row>
    <row r="512" spans="11:12" x14ac:dyDescent="0.3">
      <c r="K512" t="s">
        <v>25</v>
      </c>
      <c r="L512">
        <v>60000</v>
      </c>
    </row>
    <row r="513" spans="11:12" x14ac:dyDescent="0.3">
      <c r="K513" t="s">
        <v>25</v>
      </c>
      <c r="L513">
        <v>60000</v>
      </c>
    </row>
    <row r="514" spans="11:12" x14ac:dyDescent="0.3">
      <c r="K514" t="s">
        <v>25</v>
      </c>
      <c r="L514">
        <v>60000</v>
      </c>
    </row>
    <row r="515" spans="11:12" x14ac:dyDescent="0.3">
      <c r="K515" t="s">
        <v>25</v>
      </c>
      <c r="L515">
        <v>60000</v>
      </c>
    </row>
    <row r="516" spans="11:12" x14ac:dyDescent="0.3">
      <c r="K516" t="s">
        <v>25</v>
      </c>
      <c r="L516">
        <v>58000</v>
      </c>
    </row>
    <row r="517" spans="11:12" x14ac:dyDescent="0.3">
      <c r="K517" t="s">
        <v>25</v>
      </c>
      <c r="L517">
        <v>58000</v>
      </c>
    </row>
    <row r="518" spans="11:12" x14ac:dyDescent="0.3">
      <c r="K518" t="s">
        <v>25</v>
      </c>
      <c r="L518">
        <v>57600</v>
      </c>
    </row>
    <row r="519" spans="11:12" x14ac:dyDescent="0.3">
      <c r="K519" t="s">
        <v>25</v>
      </c>
      <c r="L519">
        <v>57000</v>
      </c>
    </row>
    <row r="520" spans="11:12" x14ac:dyDescent="0.3">
      <c r="K520" t="s">
        <v>25</v>
      </c>
      <c r="L520">
        <v>57000</v>
      </c>
    </row>
    <row r="521" spans="11:12" x14ac:dyDescent="0.3">
      <c r="K521" t="s">
        <v>25</v>
      </c>
      <c r="L521">
        <v>55000</v>
      </c>
    </row>
    <row r="522" spans="11:12" x14ac:dyDescent="0.3">
      <c r="K522" t="s">
        <v>25</v>
      </c>
      <c r="L522">
        <v>55000</v>
      </c>
    </row>
    <row r="523" spans="11:12" x14ac:dyDescent="0.3">
      <c r="K523" t="s">
        <v>25</v>
      </c>
      <c r="L523">
        <v>55000</v>
      </c>
    </row>
    <row r="524" spans="11:12" x14ac:dyDescent="0.3">
      <c r="K524" t="s">
        <v>25</v>
      </c>
      <c r="L524">
        <v>55000</v>
      </c>
    </row>
    <row r="525" spans="11:12" x14ac:dyDescent="0.3">
      <c r="K525" t="s">
        <v>25</v>
      </c>
      <c r="L525">
        <v>54500</v>
      </c>
    </row>
    <row r="526" spans="11:12" x14ac:dyDescent="0.3">
      <c r="K526" t="s">
        <v>25</v>
      </c>
      <c r="L526">
        <v>54000</v>
      </c>
    </row>
    <row r="527" spans="11:12" x14ac:dyDescent="0.3">
      <c r="K527" t="s">
        <v>25</v>
      </c>
      <c r="L527">
        <v>54000</v>
      </c>
    </row>
    <row r="528" spans="11:12" x14ac:dyDescent="0.3">
      <c r="K528" t="s">
        <v>25</v>
      </c>
      <c r="L528">
        <v>54000</v>
      </c>
    </row>
    <row r="529" spans="11:12" x14ac:dyDescent="0.3">
      <c r="K529" t="s">
        <v>25</v>
      </c>
      <c r="L529">
        <v>50000</v>
      </c>
    </row>
    <row r="530" spans="11:12" x14ac:dyDescent="0.3">
      <c r="K530" t="s">
        <v>25</v>
      </c>
      <c r="L530">
        <v>50000</v>
      </c>
    </row>
    <row r="531" spans="11:12" x14ac:dyDescent="0.3">
      <c r="K531" t="s">
        <v>25</v>
      </c>
      <c r="L531">
        <v>48000</v>
      </c>
    </row>
    <row r="532" spans="11:12" x14ac:dyDescent="0.3">
      <c r="K532" t="s">
        <v>25</v>
      </c>
      <c r="L532">
        <v>48000</v>
      </c>
    </row>
    <row r="533" spans="11:12" x14ac:dyDescent="0.3">
      <c r="K533" t="s">
        <v>25</v>
      </c>
      <c r="L533">
        <v>47745</v>
      </c>
    </row>
    <row r="534" spans="11:12" x14ac:dyDescent="0.3">
      <c r="K534" t="s">
        <v>25</v>
      </c>
      <c r="L534">
        <v>47000</v>
      </c>
    </row>
    <row r="535" spans="11:12" x14ac:dyDescent="0.3">
      <c r="K535" t="s">
        <v>25</v>
      </c>
      <c r="L535">
        <v>45600</v>
      </c>
    </row>
    <row r="536" spans="11:12" x14ac:dyDescent="0.3">
      <c r="K536" t="s">
        <v>25</v>
      </c>
      <c r="L536">
        <v>45000</v>
      </c>
    </row>
    <row r="537" spans="11:12" x14ac:dyDescent="0.3">
      <c r="K537" t="s">
        <v>25</v>
      </c>
      <c r="L537">
        <v>45000</v>
      </c>
    </row>
    <row r="538" spans="11:12" x14ac:dyDescent="0.3">
      <c r="K538" t="s">
        <v>25</v>
      </c>
      <c r="L538">
        <v>44000</v>
      </c>
    </row>
    <row r="539" spans="11:12" x14ac:dyDescent="0.3">
      <c r="K539" t="s">
        <v>25</v>
      </c>
      <c r="L539">
        <v>43000</v>
      </c>
    </row>
    <row r="540" spans="11:12" x14ac:dyDescent="0.3">
      <c r="K540" t="s">
        <v>25</v>
      </c>
      <c r="L540">
        <v>40800</v>
      </c>
    </row>
    <row r="541" spans="11:12" x14ac:dyDescent="0.3">
      <c r="K541" t="s">
        <v>25</v>
      </c>
      <c r="L541">
        <v>40000</v>
      </c>
    </row>
    <row r="542" spans="11:12" x14ac:dyDescent="0.3">
      <c r="K542" t="s">
        <v>25</v>
      </c>
      <c r="L542">
        <v>38350</v>
      </c>
    </row>
    <row r="543" spans="11:12" x14ac:dyDescent="0.3">
      <c r="K543" t="s">
        <v>25</v>
      </c>
      <c r="L543">
        <v>37500</v>
      </c>
    </row>
    <row r="544" spans="11:12" x14ac:dyDescent="0.3">
      <c r="K544" t="s">
        <v>25</v>
      </c>
      <c r="L544">
        <v>33000</v>
      </c>
    </row>
    <row r="545" spans="11:12" x14ac:dyDescent="0.3">
      <c r="K545" t="s">
        <v>25</v>
      </c>
      <c r="L545">
        <v>24000</v>
      </c>
    </row>
    <row r="546" spans="11:12" x14ac:dyDescent="0.3">
      <c r="K546" t="s">
        <v>25</v>
      </c>
      <c r="L546">
        <v>18700</v>
      </c>
    </row>
    <row r="547" spans="11:12" x14ac:dyDescent="0.3">
      <c r="K547" t="s">
        <v>87</v>
      </c>
      <c r="L547">
        <v>75000</v>
      </c>
    </row>
    <row r="548" spans="11:12" x14ac:dyDescent="0.3">
      <c r="K548" t="s">
        <v>87</v>
      </c>
      <c r="L548">
        <v>70000</v>
      </c>
    </row>
    <row r="549" spans="11:12" x14ac:dyDescent="0.3">
      <c r="K549" t="s">
        <v>87</v>
      </c>
      <c r="L549">
        <v>57000</v>
      </c>
    </row>
    <row r="550" spans="11:12" x14ac:dyDescent="0.3">
      <c r="K550" t="s">
        <v>87</v>
      </c>
      <c r="L550">
        <v>49000</v>
      </c>
    </row>
    <row r="551" spans="11:12" x14ac:dyDescent="0.3">
      <c r="K551" t="s">
        <v>385</v>
      </c>
      <c r="L551">
        <v>45500</v>
      </c>
    </row>
    <row r="552" spans="11:12" x14ac:dyDescent="0.3">
      <c r="K552" t="s">
        <v>178</v>
      </c>
      <c r="L552">
        <v>60000</v>
      </c>
    </row>
    <row r="553" spans="11:12" x14ac:dyDescent="0.3">
      <c r="K553" t="s">
        <v>132</v>
      </c>
      <c r="L553">
        <v>32000</v>
      </c>
    </row>
    <row r="554" spans="11:12" x14ac:dyDescent="0.3">
      <c r="K554" t="s">
        <v>60</v>
      </c>
      <c r="L554">
        <v>83000</v>
      </c>
    </row>
    <row r="555" spans="11:12" x14ac:dyDescent="0.3">
      <c r="K555" t="s">
        <v>60</v>
      </c>
      <c r="L555">
        <v>75000</v>
      </c>
    </row>
    <row r="556" spans="11:12" x14ac:dyDescent="0.3">
      <c r="K556" t="s">
        <v>60</v>
      </c>
      <c r="L556">
        <v>56000</v>
      </c>
    </row>
    <row r="557" spans="11:12" x14ac:dyDescent="0.3">
      <c r="K557" t="s">
        <v>321</v>
      </c>
      <c r="L557">
        <v>100000</v>
      </c>
    </row>
    <row r="558" spans="11:12" x14ac:dyDescent="0.3">
      <c r="K558" t="s">
        <v>275</v>
      </c>
      <c r="L558">
        <v>130000</v>
      </c>
    </row>
    <row r="559" spans="11:12" x14ac:dyDescent="0.3">
      <c r="K559" t="s">
        <v>275</v>
      </c>
      <c r="L559">
        <v>90000</v>
      </c>
    </row>
    <row r="560" spans="11:12" x14ac:dyDescent="0.3">
      <c r="K560" t="s">
        <v>381</v>
      </c>
      <c r="L560">
        <v>100000</v>
      </c>
    </row>
    <row r="561" spans="11:12" x14ac:dyDescent="0.3">
      <c r="K561" t="s">
        <v>302</v>
      </c>
      <c r="L561">
        <v>80000</v>
      </c>
    </row>
    <row r="562" spans="11:12" x14ac:dyDescent="0.3">
      <c r="K562" t="s">
        <v>180</v>
      </c>
      <c r="L562">
        <v>10164</v>
      </c>
    </row>
    <row r="563" spans="11:12" x14ac:dyDescent="0.3">
      <c r="K563" t="s">
        <v>134</v>
      </c>
      <c r="L563">
        <v>67000</v>
      </c>
    </row>
    <row r="564" spans="11:12" x14ac:dyDescent="0.3">
      <c r="K564" t="s">
        <v>375</v>
      </c>
      <c r="L564">
        <v>54000</v>
      </c>
    </row>
    <row r="565" spans="11:12" x14ac:dyDescent="0.3">
      <c r="K565" t="s">
        <v>300</v>
      </c>
      <c r="L565">
        <v>73000</v>
      </c>
    </row>
    <row r="566" spans="11:12" x14ac:dyDescent="0.3">
      <c r="K566" t="s">
        <v>300</v>
      </c>
      <c r="L566">
        <v>65000</v>
      </c>
    </row>
    <row r="567" spans="11:12" x14ac:dyDescent="0.3">
      <c r="K567" t="s">
        <v>413</v>
      </c>
      <c r="L567">
        <v>110000</v>
      </c>
    </row>
    <row r="568" spans="11:12" x14ac:dyDescent="0.3">
      <c r="K568" t="s">
        <v>225</v>
      </c>
      <c r="L568">
        <v>79300</v>
      </c>
    </row>
    <row r="569" spans="11:12" x14ac:dyDescent="0.3">
      <c r="K569" t="s">
        <v>401</v>
      </c>
      <c r="L569">
        <v>72000</v>
      </c>
    </row>
    <row r="570" spans="11:12" x14ac:dyDescent="0.3">
      <c r="K570" t="s">
        <v>305</v>
      </c>
      <c r="L570">
        <v>65000</v>
      </c>
    </row>
    <row r="571" spans="11:12" x14ac:dyDescent="0.3">
      <c r="K571" t="s">
        <v>73</v>
      </c>
      <c r="L571">
        <v>68500</v>
      </c>
    </row>
    <row r="572" spans="11:12" x14ac:dyDescent="0.3">
      <c r="K572" t="s">
        <v>106</v>
      </c>
      <c r="L572">
        <v>180000</v>
      </c>
    </row>
    <row r="573" spans="11:12" x14ac:dyDescent="0.3">
      <c r="K573" t="s">
        <v>341</v>
      </c>
      <c r="L573">
        <v>90000</v>
      </c>
    </row>
    <row r="574" spans="11:12" x14ac:dyDescent="0.3">
      <c r="K574" t="s">
        <v>204</v>
      </c>
      <c r="L574">
        <v>60000</v>
      </c>
    </row>
    <row r="575" spans="11:12" x14ac:dyDescent="0.3">
      <c r="K575" t="s">
        <v>81</v>
      </c>
      <c r="L575">
        <v>180000</v>
      </c>
    </row>
    <row r="576" spans="11:12" x14ac:dyDescent="0.3">
      <c r="K576" t="s">
        <v>81</v>
      </c>
      <c r="L576">
        <v>120000</v>
      </c>
    </row>
    <row r="577" spans="11:12" x14ac:dyDescent="0.3">
      <c r="K577" t="s">
        <v>81</v>
      </c>
      <c r="L577">
        <v>110000</v>
      </c>
    </row>
    <row r="578" spans="11:12" x14ac:dyDescent="0.3">
      <c r="K578" t="s">
        <v>81</v>
      </c>
      <c r="L578">
        <v>100000</v>
      </c>
    </row>
    <row r="579" spans="11:12" x14ac:dyDescent="0.3">
      <c r="K579" t="s">
        <v>81</v>
      </c>
      <c r="L579">
        <v>96000</v>
      </c>
    </row>
    <row r="580" spans="11:12" x14ac:dyDescent="0.3">
      <c r="K580" t="s">
        <v>81</v>
      </c>
      <c r="L580">
        <v>92000</v>
      </c>
    </row>
    <row r="581" spans="11:12" x14ac:dyDescent="0.3">
      <c r="K581" t="s">
        <v>81</v>
      </c>
      <c r="L581">
        <v>90000</v>
      </c>
    </row>
    <row r="582" spans="11:12" x14ac:dyDescent="0.3">
      <c r="K582" t="s">
        <v>81</v>
      </c>
      <c r="L582">
        <v>90000</v>
      </c>
    </row>
    <row r="583" spans="11:12" x14ac:dyDescent="0.3">
      <c r="K583" t="s">
        <v>81</v>
      </c>
      <c r="L583">
        <v>90000</v>
      </c>
    </row>
    <row r="584" spans="11:12" x14ac:dyDescent="0.3">
      <c r="K584" t="s">
        <v>81</v>
      </c>
      <c r="L584">
        <v>82000</v>
      </c>
    </row>
    <row r="585" spans="11:12" x14ac:dyDescent="0.3">
      <c r="K585" t="s">
        <v>81</v>
      </c>
      <c r="L585">
        <v>80000</v>
      </c>
    </row>
    <row r="586" spans="11:12" x14ac:dyDescent="0.3">
      <c r="K586" t="s">
        <v>81</v>
      </c>
      <c r="L586">
        <v>80000</v>
      </c>
    </row>
    <row r="587" spans="11:12" x14ac:dyDescent="0.3">
      <c r="K587" t="s">
        <v>81</v>
      </c>
      <c r="L587">
        <v>80000</v>
      </c>
    </row>
    <row r="588" spans="11:12" x14ac:dyDescent="0.3">
      <c r="K588" t="s">
        <v>81</v>
      </c>
      <c r="L588">
        <v>77500</v>
      </c>
    </row>
    <row r="589" spans="11:12" x14ac:dyDescent="0.3">
      <c r="K589" t="s">
        <v>81</v>
      </c>
      <c r="L589">
        <v>75000</v>
      </c>
    </row>
    <row r="590" spans="11:12" x14ac:dyDescent="0.3">
      <c r="K590" t="s">
        <v>81</v>
      </c>
      <c r="L590">
        <v>70000</v>
      </c>
    </row>
    <row r="591" spans="11:12" x14ac:dyDescent="0.3">
      <c r="K591" t="s">
        <v>81</v>
      </c>
      <c r="L591">
        <v>70000</v>
      </c>
    </row>
    <row r="592" spans="11:12" x14ac:dyDescent="0.3">
      <c r="K592" t="s">
        <v>81</v>
      </c>
      <c r="L592">
        <v>70000</v>
      </c>
    </row>
    <row r="593" spans="11:12" x14ac:dyDescent="0.3">
      <c r="K593" t="s">
        <v>81</v>
      </c>
      <c r="L593">
        <v>65000</v>
      </c>
    </row>
    <row r="594" spans="11:12" x14ac:dyDescent="0.3">
      <c r="K594" t="s">
        <v>81</v>
      </c>
      <c r="L594">
        <v>65000</v>
      </c>
    </row>
    <row r="595" spans="11:12" x14ac:dyDescent="0.3">
      <c r="K595" t="s">
        <v>81</v>
      </c>
      <c r="L595">
        <v>65000</v>
      </c>
    </row>
    <row r="596" spans="11:12" x14ac:dyDescent="0.3">
      <c r="K596" t="s">
        <v>81</v>
      </c>
      <c r="L596">
        <v>64000</v>
      </c>
    </row>
    <row r="597" spans="11:12" x14ac:dyDescent="0.3">
      <c r="K597" t="s">
        <v>81</v>
      </c>
      <c r="L597">
        <v>62000</v>
      </c>
    </row>
    <row r="598" spans="11:12" x14ac:dyDescent="0.3">
      <c r="K598" t="s">
        <v>81</v>
      </c>
      <c r="L598">
        <v>62000</v>
      </c>
    </row>
    <row r="599" spans="11:12" x14ac:dyDescent="0.3">
      <c r="K599" t="s">
        <v>81</v>
      </c>
      <c r="L599">
        <v>62000</v>
      </c>
    </row>
    <row r="600" spans="11:12" x14ac:dyDescent="0.3">
      <c r="K600" t="s">
        <v>81</v>
      </c>
      <c r="L600">
        <v>60000</v>
      </c>
    </row>
    <row r="601" spans="11:12" x14ac:dyDescent="0.3">
      <c r="K601" t="s">
        <v>81</v>
      </c>
      <c r="L601">
        <v>60000</v>
      </c>
    </row>
    <row r="602" spans="11:12" x14ac:dyDescent="0.3">
      <c r="K602" t="s">
        <v>81</v>
      </c>
      <c r="L602">
        <v>59000</v>
      </c>
    </row>
    <row r="603" spans="11:12" x14ac:dyDescent="0.3">
      <c r="K603" t="s">
        <v>81</v>
      </c>
      <c r="L603">
        <v>58000</v>
      </c>
    </row>
    <row r="604" spans="11:12" x14ac:dyDescent="0.3">
      <c r="K604" t="s">
        <v>81</v>
      </c>
      <c r="L604">
        <v>57000</v>
      </c>
    </row>
    <row r="605" spans="11:12" x14ac:dyDescent="0.3">
      <c r="K605" t="s">
        <v>81</v>
      </c>
      <c r="L605">
        <v>54000</v>
      </c>
    </row>
    <row r="606" spans="11:12" x14ac:dyDescent="0.3">
      <c r="K606" t="s">
        <v>81</v>
      </c>
      <c r="L606">
        <v>51000</v>
      </c>
    </row>
    <row r="607" spans="11:12" x14ac:dyDescent="0.3">
      <c r="K607" t="s">
        <v>81</v>
      </c>
      <c r="L607">
        <v>51000</v>
      </c>
    </row>
    <row r="608" spans="11:12" x14ac:dyDescent="0.3">
      <c r="K608" t="s">
        <v>81</v>
      </c>
      <c r="L608">
        <v>49000</v>
      </c>
    </row>
    <row r="609" spans="11:12" x14ac:dyDescent="0.3">
      <c r="K609" t="s">
        <v>81</v>
      </c>
      <c r="L609">
        <v>48000</v>
      </c>
    </row>
    <row r="610" spans="11:12" x14ac:dyDescent="0.3">
      <c r="K610" t="s">
        <v>81</v>
      </c>
      <c r="L610">
        <v>48000</v>
      </c>
    </row>
    <row r="611" spans="11:12" x14ac:dyDescent="0.3">
      <c r="K611" t="s">
        <v>81</v>
      </c>
      <c r="L611">
        <v>45000</v>
      </c>
    </row>
    <row r="612" spans="11:12" x14ac:dyDescent="0.3">
      <c r="K612" t="s">
        <v>81</v>
      </c>
      <c r="L612">
        <v>43000</v>
      </c>
    </row>
    <row r="613" spans="11:12" x14ac:dyDescent="0.3">
      <c r="K613" t="s">
        <v>81</v>
      </c>
      <c r="L613">
        <v>37500</v>
      </c>
    </row>
    <row r="614" spans="11:12" x14ac:dyDescent="0.3">
      <c r="K614" t="s">
        <v>81</v>
      </c>
      <c r="L614">
        <v>36000</v>
      </c>
    </row>
    <row r="615" spans="11:12" x14ac:dyDescent="0.3">
      <c r="K615" t="s">
        <v>81</v>
      </c>
      <c r="L615">
        <v>11500</v>
      </c>
    </row>
    <row r="616" spans="11:12" x14ac:dyDescent="0.3">
      <c r="K616" t="s">
        <v>43</v>
      </c>
      <c r="L616">
        <v>240000</v>
      </c>
    </row>
    <row r="617" spans="11:12" x14ac:dyDescent="0.3">
      <c r="K617" t="s">
        <v>43</v>
      </c>
      <c r="L617">
        <v>85000</v>
      </c>
    </row>
    <row r="618" spans="11:12" x14ac:dyDescent="0.3">
      <c r="K618" t="s">
        <v>43</v>
      </c>
      <c r="L618">
        <v>85000</v>
      </c>
    </row>
    <row r="619" spans="11:12" x14ac:dyDescent="0.3">
      <c r="K619" t="s">
        <v>43</v>
      </c>
      <c r="L619">
        <v>85000</v>
      </c>
    </row>
    <row r="620" spans="11:12" x14ac:dyDescent="0.3">
      <c r="K620" t="s">
        <v>43</v>
      </c>
      <c r="L620">
        <v>85000</v>
      </c>
    </row>
    <row r="621" spans="11:12" x14ac:dyDescent="0.3">
      <c r="K621" t="s">
        <v>43</v>
      </c>
      <c r="L621">
        <v>85000</v>
      </c>
    </row>
    <row r="622" spans="11:12" x14ac:dyDescent="0.3">
      <c r="K622" t="s">
        <v>43</v>
      </c>
      <c r="L622">
        <v>84700</v>
      </c>
    </row>
    <row r="623" spans="11:12" x14ac:dyDescent="0.3">
      <c r="K623" t="s">
        <v>43</v>
      </c>
      <c r="L623">
        <v>80000</v>
      </c>
    </row>
    <row r="624" spans="11:12" x14ac:dyDescent="0.3">
      <c r="K624" t="s">
        <v>43</v>
      </c>
      <c r="L624">
        <v>80000</v>
      </c>
    </row>
    <row r="625" spans="11:12" x14ac:dyDescent="0.3">
      <c r="K625" t="s">
        <v>43</v>
      </c>
      <c r="L625">
        <v>80000</v>
      </c>
    </row>
    <row r="626" spans="11:12" x14ac:dyDescent="0.3">
      <c r="K626" t="s">
        <v>43</v>
      </c>
      <c r="L626">
        <v>80000</v>
      </c>
    </row>
    <row r="627" spans="11:12" x14ac:dyDescent="0.3">
      <c r="K627" t="s">
        <v>43</v>
      </c>
      <c r="L627">
        <v>80000</v>
      </c>
    </row>
    <row r="628" spans="11:12" x14ac:dyDescent="0.3">
      <c r="K628" t="s">
        <v>43</v>
      </c>
      <c r="L628">
        <v>77000</v>
      </c>
    </row>
    <row r="629" spans="11:12" x14ac:dyDescent="0.3">
      <c r="K629" t="s">
        <v>43</v>
      </c>
      <c r="L629">
        <v>77000</v>
      </c>
    </row>
    <row r="630" spans="11:12" x14ac:dyDescent="0.3">
      <c r="K630" t="s">
        <v>43</v>
      </c>
      <c r="L630">
        <v>75000</v>
      </c>
    </row>
    <row r="631" spans="11:12" x14ac:dyDescent="0.3">
      <c r="K631" t="s">
        <v>43</v>
      </c>
      <c r="L631">
        <v>75000</v>
      </c>
    </row>
    <row r="632" spans="11:12" x14ac:dyDescent="0.3">
      <c r="K632" t="s">
        <v>43</v>
      </c>
      <c r="L632">
        <v>75000</v>
      </c>
    </row>
    <row r="633" spans="11:12" x14ac:dyDescent="0.3">
      <c r="K633" t="s">
        <v>43</v>
      </c>
      <c r="L633">
        <v>75000</v>
      </c>
    </row>
    <row r="634" spans="11:12" x14ac:dyDescent="0.3">
      <c r="K634" t="s">
        <v>43</v>
      </c>
      <c r="L634">
        <v>72000</v>
      </c>
    </row>
    <row r="635" spans="11:12" x14ac:dyDescent="0.3">
      <c r="K635" t="s">
        <v>43</v>
      </c>
      <c r="L635">
        <v>72000</v>
      </c>
    </row>
    <row r="636" spans="11:12" x14ac:dyDescent="0.3">
      <c r="K636" t="s">
        <v>43</v>
      </c>
      <c r="L636">
        <v>70800</v>
      </c>
    </row>
    <row r="637" spans="11:12" x14ac:dyDescent="0.3">
      <c r="K637" t="s">
        <v>43</v>
      </c>
      <c r="L637">
        <v>70000</v>
      </c>
    </row>
    <row r="638" spans="11:12" x14ac:dyDescent="0.3">
      <c r="K638" t="s">
        <v>43</v>
      </c>
      <c r="L638">
        <v>70000</v>
      </c>
    </row>
    <row r="639" spans="11:12" x14ac:dyDescent="0.3">
      <c r="K639" t="s">
        <v>43</v>
      </c>
      <c r="L639">
        <v>70000</v>
      </c>
    </row>
    <row r="640" spans="11:12" x14ac:dyDescent="0.3">
      <c r="K640" t="s">
        <v>43</v>
      </c>
      <c r="L640">
        <v>70000</v>
      </c>
    </row>
    <row r="641" spans="11:12" x14ac:dyDescent="0.3">
      <c r="K641" t="s">
        <v>43</v>
      </c>
      <c r="L641">
        <v>68000</v>
      </c>
    </row>
    <row r="642" spans="11:12" x14ac:dyDescent="0.3">
      <c r="K642" t="s">
        <v>43</v>
      </c>
      <c r="L642">
        <v>66000</v>
      </c>
    </row>
    <row r="643" spans="11:12" x14ac:dyDescent="0.3">
      <c r="K643" t="s">
        <v>43</v>
      </c>
      <c r="L643">
        <v>65400</v>
      </c>
    </row>
    <row r="644" spans="11:12" x14ac:dyDescent="0.3">
      <c r="K644" t="s">
        <v>43</v>
      </c>
      <c r="L644">
        <v>65000</v>
      </c>
    </row>
    <row r="645" spans="11:12" x14ac:dyDescent="0.3">
      <c r="K645" t="s">
        <v>43</v>
      </c>
      <c r="L645">
        <v>65000</v>
      </c>
    </row>
    <row r="646" spans="11:12" x14ac:dyDescent="0.3">
      <c r="K646" t="s">
        <v>43</v>
      </c>
      <c r="L646">
        <v>65000</v>
      </c>
    </row>
    <row r="647" spans="11:12" x14ac:dyDescent="0.3">
      <c r="K647" t="s">
        <v>43</v>
      </c>
      <c r="L647">
        <v>65000</v>
      </c>
    </row>
    <row r="648" spans="11:12" x14ac:dyDescent="0.3">
      <c r="K648" t="s">
        <v>43</v>
      </c>
      <c r="L648">
        <v>65000</v>
      </c>
    </row>
    <row r="649" spans="11:12" x14ac:dyDescent="0.3">
      <c r="K649" t="s">
        <v>43</v>
      </c>
      <c r="L649">
        <v>65000</v>
      </c>
    </row>
    <row r="650" spans="11:12" x14ac:dyDescent="0.3">
      <c r="K650" t="s">
        <v>43</v>
      </c>
      <c r="L650">
        <v>65000</v>
      </c>
    </row>
    <row r="651" spans="11:12" x14ac:dyDescent="0.3">
      <c r="K651" t="s">
        <v>43</v>
      </c>
      <c r="L651">
        <v>65000</v>
      </c>
    </row>
    <row r="652" spans="11:12" x14ac:dyDescent="0.3">
      <c r="K652" t="s">
        <v>43</v>
      </c>
      <c r="L652">
        <v>64000</v>
      </c>
    </row>
    <row r="653" spans="11:12" x14ac:dyDescent="0.3">
      <c r="K653" t="s">
        <v>43</v>
      </c>
      <c r="L653">
        <v>63000</v>
      </c>
    </row>
    <row r="654" spans="11:12" x14ac:dyDescent="0.3">
      <c r="K654" t="s">
        <v>43</v>
      </c>
      <c r="L654">
        <v>63000</v>
      </c>
    </row>
    <row r="655" spans="11:12" x14ac:dyDescent="0.3">
      <c r="K655" t="s">
        <v>43</v>
      </c>
      <c r="L655">
        <v>62500</v>
      </c>
    </row>
    <row r="656" spans="11:12" x14ac:dyDescent="0.3">
      <c r="K656" t="s">
        <v>43</v>
      </c>
      <c r="L656">
        <v>60000</v>
      </c>
    </row>
    <row r="657" spans="11:12" x14ac:dyDescent="0.3">
      <c r="K657" t="s">
        <v>43</v>
      </c>
      <c r="L657">
        <v>60000</v>
      </c>
    </row>
    <row r="658" spans="11:12" x14ac:dyDescent="0.3">
      <c r="K658" t="s">
        <v>43</v>
      </c>
      <c r="L658">
        <v>60000</v>
      </c>
    </row>
    <row r="659" spans="11:12" x14ac:dyDescent="0.3">
      <c r="K659" t="s">
        <v>43</v>
      </c>
      <c r="L659">
        <v>58000</v>
      </c>
    </row>
    <row r="660" spans="11:12" x14ac:dyDescent="0.3">
      <c r="K660" t="s">
        <v>43</v>
      </c>
      <c r="L660">
        <v>57000</v>
      </c>
    </row>
    <row r="661" spans="11:12" x14ac:dyDescent="0.3">
      <c r="K661" t="s">
        <v>43</v>
      </c>
      <c r="L661">
        <v>55000</v>
      </c>
    </row>
    <row r="662" spans="11:12" x14ac:dyDescent="0.3">
      <c r="K662" t="s">
        <v>43</v>
      </c>
      <c r="L662">
        <v>53000</v>
      </c>
    </row>
    <row r="663" spans="11:12" x14ac:dyDescent="0.3">
      <c r="K663" t="s">
        <v>43</v>
      </c>
      <c r="L663">
        <v>50000</v>
      </c>
    </row>
    <row r="664" spans="11:12" x14ac:dyDescent="0.3">
      <c r="K664" t="s">
        <v>43</v>
      </c>
      <c r="L664">
        <v>50000</v>
      </c>
    </row>
    <row r="665" spans="11:12" x14ac:dyDescent="0.3">
      <c r="K665" t="s">
        <v>43</v>
      </c>
      <c r="L665">
        <v>50000</v>
      </c>
    </row>
    <row r="666" spans="11:12" x14ac:dyDescent="0.3">
      <c r="K666" t="s">
        <v>43</v>
      </c>
      <c r="L666">
        <v>45000</v>
      </c>
    </row>
    <row r="667" spans="11:12" x14ac:dyDescent="0.3">
      <c r="K667" t="s">
        <v>43</v>
      </c>
      <c r="L667">
        <v>44000</v>
      </c>
    </row>
    <row r="668" spans="11:12" x14ac:dyDescent="0.3">
      <c r="K668" t="s">
        <v>43</v>
      </c>
      <c r="L668">
        <v>40000</v>
      </c>
    </row>
    <row r="669" spans="11:12" x14ac:dyDescent="0.3">
      <c r="K669" t="s">
        <v>127</v>
      </c>
      <c r="L669">
        <v>61200</v>
      </c>
    </row>
    <row r="670" spans="11:12" x14ac:dyDescent="0.3">
      <c r="K670" t="s">
        <v>99</v>
      </c>
      <c r="L670">
        <v>68500</v>
      </c>
    </row>
    <row r="671" spans="11:12" x14ac:dyDescent="0.3">
      <c r="K671" t="s">
        <v>245</v>
      </c>
      <c r="L671">
        <v>63000</v>
      </c>
    </row>
    <row r="672" spans="11:12" x14ac:dyDescent="0.3">
      <c r="K672" t="s">
        <v>372</v>
      </c>
      <c r="L672">
        <v>55000</v>
      </c>
    </row>
    <row r="673" spans="11:12" x14ac:dyDescent="0.3">
      <c r="K673" t="s">
        <v>372</v>
      </c>
      <c r="L673">
        <v>55000</v>
      </c>
    </row>
    <row r="674" spans="11:12" x14ac:dyDescent="0.3">
      <c r="K674" t="s">
        <v>366</v>
      </c>
      <c r="L674">
        <v>35000</v>
      </c>
    </row>
    <row r="675" spans="11:12" x14ac:dyDescent="0.3">
      <c r="K675" t="s">
        <v>41</v>
      </c>
      <c r="L675">
        <v>150000</v>
      </c>
    </row>
    <row r="676" spans="11:12" x14ac:dyDescent="0.3">
      <c r="K676" t="s">
        <v>41</v>
      </c>
      <c r="L676">
        <v>120000</v>
      </c>
    </row>
    <row r="677" spans="11:12" x14ac:dyDescent="0.3">
      <c r="K677" t="s">
        <v>41</v>
      </c>
      <c r="L677">
        <v>115000</v>
      </c>
    </row>
    <row r="678" spans="11:12" x14ac:dyDescent="0.3">
      <c r="K678" t="s">
        <v>41</v>
      </c>
      <c r="L678">
        <v>110000</v>
      </c>
    </row>
    <row r="679" spans="11:12" x14ac:dyDescent="0.3">
      <c r="K679" t="s">
        <v>41</v>
      </c>
      <c r="L679">
        <v>90000</v>
      </c>
    </row>
    <row r="680" spans="11:12" x14ac:dyDescent="0.3">
      <c r="K680" t="s">
        <v>41</v>
      </c>
      <c r="L680">
        <v>90000</v>
      </c>
    </row>
    <row r="681" spans="11:12" x14ac:dyDescent="0.3">
      <c r="K681" t="s">
        <v>41</v>
      </c>
      <c r="L681">
        <v>90000</v>
      </c>
    </row>
    <row r="682" spans="11:12" x14ac:dyDescent="0.3">
      <c r="K682" t="s">
        <v>41</v>
      </c>
      <c r="L682">
        <v>90000</v>
      </c>
    </row>
    <row r="683" spans="11:12" x14ac:dyDescent="0.3">
      <c r="K683" t="s">
        <v>41</v>
      </c>
      <c r="L683">
        <v>85000</v>
      </c>
    </row>
    <row r="684" spans="11:12" x14ac:dyDescent="0.3">
      <c r="K684" t="s">
        <v>41</v>
      </c>
      <c r="L684">
        <v>85000</v>
      </c>
    </row>
    <row r="685" spans="11:12" x14ac:dyDescent="0.3">
      <c r="K685" t="s">
        <v>41</v>
      </c>
      <c r="L685">
        <v>85000</v>
      </c>
    </row>
    <row r="686" spans="11:12" x14ac:dyDescent="0.3">
      <c r="K686" t="s">
        <v>41</v>
      </c>
      <c r="L686">
        <v>81000</v>
      </c>
    </row>
    <row r="687" spans="11:12" x14ac:dyDescent="0.3">
      <c r="K687" t="s">
        <v>41</v>
      </c>
      <c r="L687">
        <v>78000</v>
      </c>
    </row>
    <row r="688" spans="11:12" x14ac:dyDescent="0.3">
      <c r="K688" t="s">
        <v>41</v>
      </c>
      <c r="L688">
        <v>76000</v>
      </c>
    </row>
    <row r="689" spans="11:12" x14ac:dyDescent="0.3">
      <c r="K689" t="s">
        <v>41</v>
      </c>
      <c r="L689">
        <v>74000</v>
      </c>
    </row>
    <row r="690" spans="11:12" x14ac:dyDescent="0.3">
      <c r="K690" t="s">
        <v>41</v>
      </c>
      <c r="L690">
        <v>72000</v>
      </c>
    </row>
    <row r="691" spans="11:12" x14ac:dyDescent="0.3">
      <c r="K691" t="s">
        <v>41</v>
      </c>
      <c r="L691">
        <v>72000</v>
      </c>
    </row>
    <row r="692" spans="11:12" x14ac:dyDescent="0.3">
      <c r="K692" t="s">
        <v>41</v>
      </c>
      <c r="L692">
        <v>70000</v>
      </c>
    </row>
    <row r="693" spans="11:12" x14ac:dyDescent="0.3">
      <c r="K693" t="s">
        <v>41</v>
      </c>
      <c r="L693">
        <v>70000</v>
      </c>
    </row>
    <row r="694" spans="11:12" x14ac:dyDescent="0.3">
      <c r="K694" t="s">
        <v>41</v>
      </c>
      <c r="L694">
        <v>70000</v>
      </c>
    </row>
    <row r="695" spans="11:12" x14ac:dyDescent="0.3">
      <c r="K695" t="s">
        <v>41</v>
      </c>
      <c r="L695">
        <v>70000</v>
      </c>
    </row>
    <row r="696" spans="11:12" x14ac:dyDescent="0.3">
      <c r="K696" t="s">
        <v>41</v>
      </c>
      <c r="L696">
        <v>70000</v>
      </c>
    </row>
    <row r="697" spans="11:12" x14ac:dyDescent="0.3">
      <c r="K697" t="s">
        <v>41</v>
      </c>
      <c r="L697">
        <v>65000</v>
      </c>
    </row>
    <row r="698" spans="11:12" x14ac:dyDescent="0.3">
      <c r="K698" t="s">
        <v>41</v>
      </c>
      <c r="L698">
        <v>62000</v>
      </c>
    </row>
    <row r="699" spans="11:12" x14ac:dyDescent="0.3">
      <c r="K699" t="s">
        <v>41</v>
      </c>
      <c r="L699">
        <v>62000</v>
      </c>
    </row>
    <row r="700" spans="11:12" x14ac:dyDescent="0.3">
      <c r="K700" t="s">
        <v>41</v>
      </c>
      <c r="L700">
        <v>60000</v>
      </c>
    </row>
    <row r="701" spans="11:12" x14ac:dyDescent="0.3">
      <c r="K701" t="s">
        <v>41</v>
      </c>
      <c r="L701">
        <v>60000</v>
      </c>
    </row>
    <row r="702" spans="11:12" x14ac:dyDescent="0.3">
      <c r="K702" t="s">
        <v>41</v>
      </c>
      <c r="L702">
        <v>60000</v>
      </c>
    </row>
    <row r="703" spans="11:12" x14ac:dyDescent="0.3">
      <c r="K703" t="s">
        <v>41</v>
      </c>
      <c r="L703">
        <v>60000</v>
      </c>
    </row>
    <row r="704" spans="11:12" x14ac:dyDescent="0.3">
      <c r="K704" t="s">
        <v>41</v>
      </c>
      <c r="L704">
        <v>60000</v>
      </c>
    </row>
    <row r="705" spans="11:12" x14ac:dyDescent="0.3">
      <c r="K705" t="s">
        <v>41</v>
      </c>
      <c r="L705">
        <v>57760</v>
      </c>
    </row>
    <row r="706" spans="11:12" x14ac:dyDescent="0.3">
      <c r="K706" t="s">
        <v>41</v>
      </c>
      <c r="L706">
        <v>57750</v>
      </c>
    </row>
    <row r="707" spans="11:12" x14ac:dyDescent="0.3">
      <c r="K707" t="s">
        <v>41</v>
      </c>
      <c r="L707">
        <v>56000</v>
      </c>
    </row>
    <row r="708" spans="11:12" x14ac:dyDescent="0.3">
      <c r="K708" t="s">
        <v>41</v>
      </c>
      <c r="L708">
        <v>55000</v>
      </c>
    </row>
    <row r="709" spans="11:12" x14ac:dyDescent="0.3">
      <c r="K709" t="s">
        <v>41</v>
      </c>
      <c r="L709">
        <v>52000</v>
      </c>
    </row>
    <row r="710" spans="11:12" x14ac:dyDescent="0.3">
      <c r="K710" t="s">
        <v>41</v>
      </c>
      <c r="L710">
        <v>51000</v>
      </c>
    </row>
    <row r="711" spans="11:12" x14ac:dyDescent="0.3">
      <c r="K711" t="s">
        <v>41</v>
      </c>
      <c r="L711">
        <v>48000</v>
      </c>
    </row>
    <row r="712" spans="11:12" x14ac:dyDescent="0.3">
      <c r="K712" t="s">
        <v>41</v>
      </c>
      <c r="L712">
        <v>30000</v>
      </c>
    </row>
    <row r="713" spans="11:12" x14ac:dyDescent="0.3">
      <c r="K713" t="s">
        <v>41</v>
      </c>
      <c r="L713">
        <v>30000</v>
      </c>
    </row>
    <row r="714" spans="11:12" x14ac:dyDescent="0.3">
      <c r="K714" t="s">
        <v>342</v>
      </c>
      <c r="L714">
        <v>80000</v>
      </c>
    </row>
    <row r="715" spans="11:12" x14ac:dyDescent="0.3">
      <c r="K715" t="s">
        <v>250</v>
      </c>
      <c r="L715">
        <v>86000</v>
      </c>
    </row>
    <row r="716" spans="11:12" x14ac:dyDescent="0.3">
      <c r="K716" t="s">
        <v>189</v>
      </c>
      <c r="L716">
        <v>130000</v>
      </c>
    </row>
    <row r="717" spans="11:12" x14ac:dyDescent="0.3">
      <c r="K717" t="s">
        <v>95</v>
      </c>
      <c r="L717">
        <v>62000</v>
      </c>
    </row>
    <row r="718" spans="11:12" x14ac:dyDescent="0.3">
      <c r="K718" t="s">
        <v>95</v>
      </c>
      <c r="L718">
        <v>51000</v>
      </c>
    </row>
    <row r="719" spans="11:12" x14ac:dyDescent="0.3">
      <c r="K719" t="s">
        <v>95</v>
      </c>
      <c r="L719">
        <v>20000</v>
      </c>
    </row>
    <row r="720" spans="11:12" x14ac:dyDescent="0.3">
      <c r="K720" t="s">
        <v>95</v>
      </c>
      <c r="L720">
        <v>20000</v>
      </c>
    </row>
    <row r="721" spans="11:12" x14ac:dyDescent="0.3">
      <c r="K721" t="s">
        <v>323</v>
      </c>
      <c r="L721">
        <v>108000</v>
      </c>
    </row>
    <row r="722" spans="11:12" x14ac:dyDescent="0.3">
      <c r="K722" t="s">
        <v>52</v>
      </c>
      <c r="L722">
        <v>159000</v>
      </c>
    </row>
    <row r="723" spans="11:12" x14ac:dyDescent="0.3">
      <c r="K723" t="s">
        <v>52</v>
      </c>
      <c r="L723">
        <v>95000</v>
      </c>
    </row>
    <row r="724" spans="11:12" x14ac:dyDescent="0.3">
      <c r="K724" t="s">
        <v>52</v>
      </c>
      <c r="L724">
        <v>85000</v>
      </c>
    </row>
    <row r="725" spans="11:12" x14ac:dyDescent="0.3">
      <c r="K725" t="s">
        <v>52</v>
      </c>
      <c r="L725">
        <v>81000</v>
      </c>
    </row>
    <row r="726" spans="11:12" x14ac:dyDescent="0.3">
      <c r="K726" t="s">
        <v>52</v>
      </c>
      <c r="L726">
        <v>78000</v>
      </c>
    </row>
    <row r="727" spans="11:12" x14ac:dyDescent="0.3">
      <c r="K727" t="s">
        <v>52</v>
      </c>
      <c r="L727">
        <v>76500</v>
      </c>
    </row>
    <row r="728" spans="11:12" x14ac:dyDescent="0.3">
      <c r="K728" t="s">
        <v>52</v>
      </c>
      <c r="L728">
        <v>76000</v>
      </c>
    </row>
    <row r="729" spans="11:12" x14ac:dyDescent="0.3">
      <c r="K729" t="s">
        <v>52</v>
      </c>
      <c r="L729">
        <v>76000</v>
      </c>
    </row>
    <row r="730" spans="11:12" x14ac:dyDescent="0.3">
      <c r="K730" t="s">
        <v>52</v>
      </c>
      <c r="L730">
        <v>75000</v>
      </c>
    </row>
    <row r="731" spans="11:12" x14ac:dyDescent="0.3">
      <c r="K731" t="s">
        <v>52</v>
      </c>
      <c r="L731">
        <v>75000</v>
      </c>
    </row>
    <row r="732" spans="11:12" x14ac:dyDescent="0.3">
      <c r="K732" t="s">
        <v>52</v>
      </c>
      <c r="L732">
        <v>74400</v>
      </c>
    </row>
    <row r="733" spans="11:12" x14ac:dyDescent="0.3">
      <c r="K733" t="s">
        <v>52</v>
      </c>
      <c r="L733">
        <v>70000</v>
      </c>
    </row>
    <row r="734" spans="11:12" x14ac:dyDescent="0.3">
      <c r="K734" t="s">
        <v>52</v>
      </c>
      <c r="L734">
        <v>70000</v>
      </c>
    </row>
    <row r="735" spans="11:12" x14ac:dyDescent="0.3">
      <c r="K735" t="s">
        <v>52</v>
      </c>
      <c r="L735">
        <v>70000</v>
      </c>
    </row>
    <row r="736" spans="11:12" x14ac:dyDescent="0.3">
      <c r="K736" t="s">
        <v>52</v>
      </c>
      <c r="L736">
        <v>70000</v>
      </c>
    </row>
    <row r="737" spans="11:12" x14ac:dyDescent="0.3">
      <c r="K737" t="s">
        <v>52</v>
      </c>
      <c r="L737">
        <v>70000</v>
      </c>
    </row>
    <row r="738" spans="11:12" x14ac:dyDescent="0.3">
      <c r="K738" t="s">
        <v>52</v>
      </c>
      <c r="L738">
        <v>70000</v>
      </c>
    </row>
    <row r="739" spans="11:12" x14ac:dyDescent="0.3">
      <c r="K739" t="s">
        <v>52</v>
      </c>
      <c r="L739">
        <v>69200</v>
      </c>
    </row>
    <row r="740" spans="11:12" x14ac:dyDescent="0.3">
      <c r="K740" t="s">
        <v>52</v>
      </c>
      <c r="L740">
        <v>69000</v>
      </c>
    </row>
    <row r="741" spans="11:12" x14ac:dyDescent="0.3">
      <c r="K741" t="s">
        <v>52</v>
      </c>
      <c r="L741">
        <v>68000</v>
      </c>
    </row>
    <row r="742" spans="11:12" x14ac:dyDescent="0.3">
      <c r="K742" t="s">
        <v>52</v>
      </c>
      <c r="L742">
        <v>68000</v>
      </c>
    </row>
    <row r="743" spans="11:12" x14ac:dyDescent="0.3">
      <c r="K743" t="s">
        <v>52</v>
      </c>
      <c r="L743">
        <v>68000</v>
      </c>
    </row>
    <row r="744" spans="11:12" x14ac:dyDescent="0.3">
      <c r="K744" t="s">
        <v>52</v>
      </c>
      <c r="L744">
        <v>67500</v>
      </c>
    </row>
    <row r="745" spans="11:12" x14ac:dyDescent="0.3">
      <c r="K745" t="s">
        <v>52</v>
      </c>
      <c r="L745">
        <v>65000</v>
      </c>
    </row>
    <row r="746" spans="11:12" x14ac:dyDescent="0.3">
      <c r="K746" t="s">
        <v>52</v>
      </c>
      <c r="L746">
        <v>65000</v>
      </c>
    </row>
    <row r="747" spans="11:12" x14ac:dyDescent="0.3">
      <c r="K747" t="s">
        <v>52</v>
      </c>
      <c r="L747">
        <v>65000</v>
      </c>
    </row>
    <row r="748" spans="11:12" x14ac:dyDescent="0.3">
      <c r="K748" t="s">
        <v>52</v>
      </c>
      <c r="L748">
        <v>65000</v>
      </c>
    </row>
    <row r="749" spans="11:12" x14ac:dyDescent="0.3">
      <c r="K749" t="s">
        <v>52</v>
      </c>
      <c r="L749">
        <v>64000</v>
      </c>
    </row>
    <row r="750" spans="11:12" x14ac:dyDescent="0.3">
      <c r="K750" t="s">
        <v>52</v>
      </c>
      <c r="L750">
        <v>63000</v>
      </c>
    </row>
    <row r="751" spans="11:12" x14ac:dyDescent="0.3">
      <c r="K751" t="s">
        <v>52</v>
      </c>
      <c r="L751">
        <v>62000</v>
      </c>
    </row>
    <row r="752" spans="11:12" x14ac:dyDescent="0.3">
      <c r="K752" t="s">
        <v>52</v>
      </c>
      <c r="L752">
        <v>62000</v>
      </c>
    </row>
    <row r="753" spans="11:12" x14ac:dyDescent="0.3">
      <c r="K753" t="s">
        <v>52</v>
      </c>
      <c r="L753">
        <v>61000</v>
      </c>
    </row>
    <row r="754" spans="11:12" x14ac:dyDescent="0.3">
      <c r="K754" t="s">
        <v>52</v>
      </c>
      <c r="L754">
        <v>60000</v>
      </c>
    </row>
    <row r="755" spans="11:12" x14ac:dyDescent="0.3">
      <c r="K755" t="s">
        <v>52</v>
      </c>
      <c r="L755">
        <v>60000</v>
      </c>
    </row>
    <row r="756" spans="11:12" x14ac:dyDescent="0.3">
      <c r="K756" t="s">
        <v>52</v>
      </c>
      <c r="L756">
        <v>60000</v>
      </c>
    </row>
    <row r="757" spans="11:12" x14ac:dyDescent="0.3">
      <c r="K757" t="s">
        <v>52</v>
      </c>
      <c r="L757">
        <v>60000</v>
      </c>
    </row>
    <row r="758" spans="11:12" x14ac:dyDescent="0.3">
      <c r="K758" t="s">
        <v>52</v>
      </c>
      <c r="L758">
        <v>60000</v>
      </c>
    </row>
    <row r="759" spans="11:12" x14ac:dyDescent="0.3">
      <c r="K759" t="s">
        <v>52</v>
      </c>
      <c r="L759">
        <v>60000</v>
      </c>
    </row>
    <row r="760" spans="11:12" x14ac:dyDescent="0.3">
      <c r="K760" t="s">
        <v>52</v>
      </c>
      <c r="L760">
        <v>60000</v>
      </c>
    </row>
    <row r="761" spans="11:12" x14ac:dyDescent="0.3">
      <c r="K761" t="s">
        <v>52</v>
      </c>
      <c r="L761">
        <v>60000</v>
      </c>
    </row>
    <row r="762" spans="11:12" x14ac:dyDescent="0.3">
      <c r="K762" t="s">
        <v>52</v>
      </c>
      <c r="L762">
        <v>60000</v>
      </c>
    </row>
    <row r="763" spans="11:12" x14ac:dyDescent="0.3">
      <c r="K763" t="s">
        <v>52</v>
      </c>
      <c r="L763">
        <v>60000</v>
      </c>
    </row>
    <row r="764" spans="11:12" x14ac:dyDescent="0.3">
      <c r="K764" t="s">
        <v>52</v>
      </c>
      <c r="L764">
        <v>60000</v>
      </c>
    </row>
    <row r="765" spans="11:12" x14ac:dyDescent="0.3">
      <c r="K765" t="s">
        <v>52</v>
      </c>
      <c r="L765">
        <v>60000</v>
      </c>
    </row>
    <row r="766" spans="11:12" x14ac:dyDescent="0.3">
      <c r="K766" t="s">
        <v>52</v>
      </c>
      <c r="L766">
        <v>58000</v>
      </c>
    </row>
    <row r="767" spans="11:12" x14ac:dyDescent="0.3">
      <c r="K767" t="s">
        <v>52</v>
      </c>
      <c r="L767">
        <v>58000</v>
      </c>
    </row>
    <row r="768" spans="11:12" x14ac:dyDescent="0.3">
      <c r="K768" t="s">
        <v>52</v>
      </c>
      <c r="L768">
        <v>57000</v>
      </c>
    </row>
    <row r="769" spans="11:12" x14ac:dyDescent="0.3">
      <c r="K769" t="s">
        <v>52</v>
      </c>
      <c r="L769">
        <v>57000</v>
      </c>
    </row>
    <row r="770" spans="11:12" x14ac:dyDescent="0.3">
      <c r="K770" t="s">
        <v>52</v>
      </c>
      <c r="L770">
        <v>56700</v>
      </c>
    </row>
    <row r="771" spans="11:12" x14ac:dyDescent="0.3">
      <c r="K771" t="s">
        <v>52</v>
      </c>
      <c r="L771">
        <v>55500</v>
      </c>
    </row>
    <row r="772" spans="11:12" x14ac:dyDescent="0.3">
      <c r="K772" t="s">
        <v>52</v>
      </c>
      <c r="L772">
        <v>55000</v>
      </c>
    </row>
    <row r="773" spans="11:12" x14ac:dyDescent="0.3">
      <c r="K773" t="s">
        <v>52</v>
      </c>
      <c r="L773">
        <v>55000</v>
      </c>
    </row>
    <row r="774" spans="11:12" x14ac:dyDescent="0.3">
      <c r="K774" t="s">
        <v>52</v>
      </c>
      <c r="L774">
        <v>55000</v>
      </c>
    </row>
    <row r="775" spans="11:12" x14ac:dyDescent="0.3">
      <c r="K775" t="s">
        <v>52</v>
      </c>
      <c r="L775">
        <v>55000</v>
      </c>
    </row>
    <row r="776" spans="11:12" x14ac:dyDescent="0.3">
      <c r="K776" t="s">
        <v>52</v>
      </c>
      <c r="L776">
        <v>54500</v>
      </c>
    </row>
    <row r="777" spans="11:12" x14ac:dyDescent="0.3">
      <c r="K777" t="s">
        <v>52</v>
      </c>
      <c r="L777">
        <v>54000</v>
      </c>
    </row>
    <row r="778" spans="11:12" x14ac:dyDescent="0.3">
      <c r="K778" t="s">
        <v>52</v>
      </c>
      <c r="L778">
        <v>54000</v>
      </c>
    </row>
    <row r="779" spans="11:12" x14ac:dyDescent="0.3">
      <c r="K779" t="s">
        <v>52</v>
      </c>
      <c r="L779">
        <v>54000</v>
      </c>
    </row>
    <row r="780" spans="11:12" x14ac:dyDescent="0.3">
      <c r="K780" t="s">
        <v>52</v>
      </c>
      <c r="L780">
        <v>53000</v>
      </c>
    </row>
    <row r="781" spans="11:12" x14ac:dyDescent="0.3">
      <c r="K781" t="s">
        <v>52</v>
      </c>
      <c r="L781">
        <v>52000</v>
      </c>
    </row>
    <row r="782" spans="11:12" x14ac:dyDescent="0.3">
      <c r="K782" t="s">
        <v>52</v>
      </c>
      <c r="L782">
        <v>50000</v>
      </c>
    </row>
    <row r="783" spans="11:12" x14ac:dyDescent="0.3">
      <c r="K783" t="s">
        <v>52</v>
      </c>
      <c r="L783">
        <v>50000</v>
      </c>
    </row>
    <row r="784" spans="11:12" x14ac:dyDescent="0.3">
      <c r="K784" t="s">
        <v>52</v>
      </c>
      <c r="L784">
        <v>50000</v>
      </c>
    </row>
    <row r="785" spans="11:12" x14ac:dyDescent="0.3">
      <c r="K785" t="s">
        <v>52</v>
      </c>
      <c r="L785">
        <v>48000</v>
      </c>
    </row>
    <row r="786" spans="11:12" x14ac:dyDescent="0.3">
      <c r="K786" t="s">
        <v>52</v>
      </c>
      <c r="L786">
        <v>46000</v>
      </c>
    </row>
    <row r="787" spans="11:12" x14ac:dyDescent="0.3">
      <c r="K787" t="s">
        <v>52</v>
      </c>
      <c r="L787">
        <v>45000</v>
      </c>
    </row>
    <row r="788" spans="11:12" x14ac:dyDescent="0.3">
      <c r="K788" t="s">
        <v>52</v>
      </c>
      <c r="L788">
        <v>45000</v>
      </c>
    </row>
    <row r="789" spans="11:12" x14ac:dyDescent="0.3">
      <c r="K789" t="s">
        <v>52</v>
      </c>
      <c r="L789">
        <v>42000</v>
      </c>
    </row>
    <row r="790" spans="11:12" x14ac:dyDescent="0.3">
      <c r="K790" t="s">
        <v>52</v>
      </c>
      <c r="L790">
        <v>35000</v>
      </c>
    </row>
    <row r="791" spans="11:12" x14ac:dyDescent="0.3">
      <c r="K791" t="s">
        <v>52</v>
      </c>
      <c r="L791">
        <v>32000</v>
      </c>
    </row>
    <row r="792" spans="11:12" x14ac:dyDescent="0.3">
      <c r="K792" t="s">
        <v>52</v>
      </c>
      <c r="L792">
        <v>11000</v>
      </c>
    </row>
    <row r="793" spans="11:12" x14ac:dyDescent="0.3">
      <c r="K793" t="s">
        <v>389</v>
      </c>
      <c r="L793">
        <v>72000</v>
      </c>
    </row>
    <row r="794" spans="11:12" x14ac:dyDescent="0.3">
      <c r="K794" t="s">
        <v>388</v>
      </c>
      <c r="L794">
        <v>46000</v>
      </c>
    </row>
    <row r="795" spans="11:12" x14ac:dyDescent="0.3">
      <c r="K795" t="s">
        <v>221</v>
      </c>
      <c r="L795">
        <v>60000</v>
      </c>
    </row>
    <row r="796" spans="11:12" x14ac:dyDescent="0.3">
      <c r="K796" t="s">
        <v>157</v>
      </c>
      <c r="L796">
        <v>70000</v>
      </c>
    </row>
    <row r="797" spans="11:12" x14ac:dyDescent="0.3">
      <c r="K797" t="s">
        <v>383</v>
      </c>
      <c r="L797">
        <v>70000</v>
      </c>
    </row>
    <row r="798" spans="11:12" x14ac:dyDescent="0.3">
      <c r="K798" t="s">
        <v>75</v>
      </c>
      <c r="L798">
        <v>55000</v>
      </c>
    </row>
    <row r="799" spans="11:12" x14ac:dyDescent="0.3">
      <c r="K799" t="s">
        <v>252</v>
      </c>
      <c r="L799">
        <v>40000</v>
      </c>
    </row>
    <row r="800" spans="11:12" x14ac:dyDescent="0.3">
      <c r="K800" t="s">
        <v>411</v>
      </c>
      <c r="L800">
        <v>60000</v>
      </c>
    </row>
    <row r="801" spans="11:12" x14ac:dyDescent="0.3">
      <c r="K801" t="s">
        <v>391</v>
      </c>
      <c r="L801">
        <v>45000</v>
      </c>
    </row>
    <row r="802" spans="11:12" x14ac:dyDescent="0.3">
      <c r="K802" t="s">
        <v>346</v>
      </c>
      <c r="L802">
        <v>110000</v>
      </c>
    </row>
    <row r="803" spans="11:12" x14ac:dyDescent="0.3">
      <c r="K803" t="s">
        <v>217</v>
      </c>
      <c r="L803">
        <v>75000</v>
      </c>
    </row>
    <row r="804" spans="11:12" x14ac:dyDescent="0.3">
      <c r="K804" t="s">
        <v>277</v>
      </c>
      <c r="L804">
        <v>82000</v>
      </c>
    </row>
    <row r="805" spans="11:12" x14ac:dyDescent="0.3">
      <c r="K805" t="s">
        <v>165</v>
      </c>
      <c r="L805">
        <v>70800</v>
      </c>
    </row>
    <row r="806" spans="11:12" x14ac:dyDescent="0.3">
      <c r="K806" t="s">
        <v>107</v>
      </c>
      <c r="L806">
        <v>85000</v>
      </c>
    </row>
    <row r="807" spans="11:12" x14ac:dyDescent="0.3">
      <c r="K807" t="s">
        <v>147</v>
      </c>
      <c r="L807">
        <v>85000</v>
      </c>
    </row>
    <row r="808" spans="11:12" x14ac:dyDescent="0.3">
      <c r="K808" t="s">
        <v>147</v>
      </c>
      <c r="L808">
        <v>80000</v>
      </c>
    </row>
    <row r="809" spans="11:12" x14ac:dyDescent="0.3">
      <c r="K809" t="s">
        <v>326</v>
      </c>
      <c r="L809">
        <v>72000</v>
      </c>
    </row>
    <row r="810" spans="11:12" x14ac:dyDescent="0.3">
      <c r="K810" t="s">
        <v>129</v>
      </c>
      <c r="L810">
        <v>80000</v>
      </c>
    </row>
    <row r="811" spans="11:12" x14ac:dyDescent="0.3">
      <c r="K811" t="s">
        <v>297</v>
      </c>
      <c r="L811">
        <v>90000</v>
      </c>
    </row>
    <row r="812" spans="11:12" x14ac:dyDescent="0.3">
      <c r="K812" t="s">
        <v>211</v>
      </c>
      <c r="L812">
        <v>68500</v>
      </c>
    </row>
    <row r="813" spans="11:12" x14ac:dyDescent="0.3">
      <c r="K813" t="s">
        <v>142</v>
      </c>
      <c r="L813">
        <v>123600</v>
      </c>
    </row>
    <row r="814" spans="11:12" x14ac:dyDescent="0.3">
      <c r="K814" t="s">
        <v>320</v>
      </c>
      <c r="L814">
        <v>90000</v>
      </c>
    </row>
    <row r="815" spans="11:12" x14ac:dyDescent="0.3">
      <c r="K815" t="s">
        <v>44</v>
      </c>
      <c r="L815">
        <v>156000</v>
      </c>
    </row>
    <row r="816" spans="11:12" x14ac:dyDescent="0.3">
      <c r="K816" t="s">
        <v>44</v>
      </c>
      <c r="L816">
        <v>122000</v>
      </c>
    </row>
    <row r="817" spans="11:12" x14ac:dyDescent="0.3">
      <c r="K817" t="s">
        <v>44</v>
      </c>
      <c r="L817">
        <v>100000</v>
      </c>
    </row>
    <row r="818" spans="11:12" x14ac:dyDescent="0.3">
      <c r="K818" t="s">
        <v>44</v>
      </c>
      <c r="L818">
        <v>100000</v>
      </c>
    </row>
    <row r="819" spans="11:12" x14ac:dyDescent="0.3">
      <c r="K819" t="s">
        <v>403</v>
      </c>
      <c r="L819">
        <v>95000</v>
      </c>
    </row>
    <row r="820" spans="11:12" x14ac:dyDescent="0.3">
      <c r="K820" t="s">
        <v>233</v>
      </c>
      <c r="L820">
        <v>66000</v>
      </c>
    </row>
    <row r="821" spans="11:12" x14ac:dyDescent="0.3">
      <c r="K821" t="s">
        <v>15</v>
      </c>
      <c r="L821">
        <v>250000</v>
      </c>
    </row>
    <row r="822" spans="11:12" x14ac:dyDescent="0.3">
      <c r="K822" t="s">
        <v>15</v>
      </c>
      <c r="L822">
        <v>200000</v>
      </c>
    </row>
    <row r="823" spans="11:12" x14ac:dyDescent="0.3">
      <c r="K823" t="s">
        <v>15</v>
      </c>
      <c r="L823">
        <v>160000</v>
      </c>
    </row>
    <row r="824" spans="11:12" x14ac:dyDescent="0.3">
      <c r="K824" t="s">
        <v>15</v>
      </c>
      <c r="L824">
        <v>151872</v>
      </c>
    </row>
    <row r="825" spans="11:12" x14ac:dyDescent="0.3">
      <c r="K825" t="s">
        <v>15</v>
      </c>
      <c r="L825">
        <v>150000</v>
      </c>
    </row>
    <row r="826" spans="11:12" x14ac:dyDescent="0.3">
      <c r="K826" t="s">
        <v>15</v>
      </c>
      <c r="L826">
        <v>140000</v>
      </c>
    </row>
    <row r="827" spans="11:12" x14ac:dyDescent="0.3">
      <c r="K827" t="s">
        <v>15</v>
      </c>
      <c r="L827">
        <v>130000</v>
      </c>
    </row>
    <row r="828" spans="11:12" x14ac:dyDescent="0.3">
      <c r="K828" t="s">
        <v>15</v>
      </c>
      <c r="L828">
        <v>130000</v>
      </c>
    </row>
    <row r="829" spans="11:12" x14ac:dyDescent="0.3">
      <c r="K829" t="s">
        <v>15</v>
      </c>
      <c r="L829">
        <v>120000</v>
      </c>
    </row>
    <row r="830" spans="11:12" x14ac:dyDescent="0.3">
      <c r="K830" t="s">
        <v>15</v>
      </c>
      <c r="L830">
        <v>120000</v>
      </c>
    </row>
    <row r="831" spans="11:12" x14ac:dyDescent="0.3">
      <c r="K831" t="s">
        <v>15</v>
      </c>
      <c r="L831">
        <v>120000</v>
      </c>
    </row>
    <row r="832" spans="11:12" x14ac:dyDescent="0.3">
      <c r="K832" t="s">
        <v>15</v>
      </c>
      <c r="L832">
        <v>120000</v>
      </c>
    </row>
    <row r="833" spans="11:12" x14ac:dyDescent="0.3">
      <c r="K833" t="s">
        <v>15</v>
      </c>
      <c r="L833">
        <v>120000</v>
      </c>
    </row>
    <row r="834" spans="11:12" x14ac:dyDescent="0.3">
      <c r="K834" t="s">
        <v>15</v>
      </c>
      <c r="L834">
        <v>120000</v>
      </c>
    </row>
    <row r="835" spans="11:12" x14ac:dyDescent="0.3">
      <c r="K835" t="s">
        <v>15</v>
      </c>
      <c r="L835">
        <v>115000</v>
      </c>
    </row>
    <row r="836" spans="11:12" x14ac:dyDescent="0.3">
      <c r="K836" t="s">
        <v>15</v>
      </c>
      <c r="L836">
        <v>113000</v>
      </c>
    </row>
    <row r="837" spans="11:12" x14ac:dyDescent="0.3">
      <c r="K837" t="s">
        <v>15</v>
      </c>
      <c r="L837">
        <v>110000</v>
      </c>
    </row>
    <row r="838" spans="11:12" x14ac:dyDescent="0.3">
      <c r="K838" t="s">
        <v>15</v>
      </c>
      <c r="L838">
        <v>110000</v>
      </c>
    </row>
    <row r="839" spans="11:12" x14ac:dyDescent="0.3">
      <c r="K839" t="s">
        <v>15</v>
      </c>
      <c r="L839">
        <v>108500</v>
      </c>
    </row>
    <row r="840" spans="11:12" x14ac:dyDescent="0.3">
      <c r="K840" t="s">
        <v>15</v>
      </c>
      <c r="L840">
        <v>108000</v>
      </c>
    </row>
    <row r="841" spans="11:12" x14ac:dyDescent="0.3">
      <c r="K841" t="s">
        <v>15</v>
      </c>
      <c r="L841">
        <v>107000</v>
      </c>
    </row>
    <row r="842" spans="11:12" x14ac:dyDescent="0.3">
      <c r="K842" t="s">
        <v>15</v>
      </c>
      <c r="L842">
        <v>103000</v>
      </c>
    </row>
    <row r="843" spans="11:12" x14ac:dyDescent="0.3">
      <c r="K843" t="s">
        <v>15</v>
      </c>
      <c r="L843">
        <v>100000</v>
      </c>
    </row>
    <row r="844" spans="11:12" x14ac:dyDescent="0.3">
      <c r="K844" t="s">
        <v>15</v>
      </c>
      <c r="L844">
        <v>100000</v>
      </c>
    </row>
    <row r="845" spans="11:12" x14ac:dyDescent="0.3">
      <c r="K845" t="s">
        <v>15</v>
      </c>
      <c r="L845">
        <v>100000</v>
      </c>
    </row>
    <row r="846" spans="11:12" x14ac:dyDescent="0.3">
      <c r="K846" t="s">
        <v>15</v>
      </c>
      <c r="L846">
        <v>100000</v>
      </c>
    </row>
    <row r="847" spans="11:12" x14ac:dyDescent="0.3">
      <c r="K847" t="s">
        <v>15</v>
      </c>
      <c r="L847">
        <v>100000</v>
      </c>
    </row>
    <row r="848" spans="11:12" x14ac:dyDescent="0.3">
      <c r="K848" t="s">
        <v>15</v>
      </c>
      <c r="L848">
        <v>100000</v>
      </c>
    </row>
    <row r="849" spans="11:12" x14ac:dyDescent="0.3">
      <c r="K849" t="s">
        <v>15</v>
      </c>
      <c r="L849">
        <v>100000</v>
      </c>
    </row>
    <row r="850" spans="11:12" x14ac:dyDescent="0.3">
      <c r="K850" t="s">
        <v>15</v>
      </c>
      <c r="L850">
        <v>100000</v>
      </c>
    </row>
    <row r="851" spans="11:12" x14ac:dyDescent="0.3">
      <c r="K851" t="s">
        <v>15</v>
      </c>
      <c r="L851">
        <v>100000</v>
      </c>
    </row>
    <row r="852" spans="11:12" x14ac:dyDescent="0.3">
      <c r="K852" t="s">
        <v>15</v>
      </c>
      <c r="L852">
        <v>100000</v>
      </c>
    </row>
    <row r="853" spans="11:12" x14ac:dyDescent="0.3">
      <c r="K853" t="s">
        <v>15</v>
      </c>
      <c r="L853">
        <v>100000</v>
      </c>
    </row>
    <row r="854" spans="11:12" x14ac:dyDescent="0.3">
      <c r="K854" t="s">
        <v>15</v>
      </c>
      <c r="L854">
        <v>99000</v>
      </c>
    </row>
    <row r="855" spans="11:12" x14ac:dyDescent="0.3">
      <c r="K855" t="s">
        <v>15</v>
      </c>
      <c r="L855">
        <v>99000</v>
      </c>
    </row>
    <row r="856" spans="11:12" x14ac:dyDescent="0.3">
      <c r="K856" t="s">
        <v>15</v>
      </c>
      <c r="L856">
        <v>98000</v>
      </c>
    </row>
    <row r="857" spans="11:12" x14ac:dyDescent="0.3">
      <c r="K857" t="s">
        <v>15</v>
      </c>
      <c r="L857">
        <v>95500</v>
      </c>
    </row>
    <row r="858" spans="11:12" x14ac:dyDescent="0.3">
      <c r="K858" t="s">
        <v>15</v>
      </c>
      <c r="L858">
        <v>95000</v>
      </c>
    </row>
    <row r="859" spans="11:12" x14ac:dyDescent="0.3">
      <c r="K859" t="s">
        <v>15</v>
      </c>
      <c r="L859">
        <v>95000</v>
      </c>
    </row>
    <row r="860" spans="11:12" x14ac:dyDescent="0.3">
      <c r="K860" t="s">
        <v>15</v>
      </c>
      <c r="L860">
        <v>95000</v>
      </c>
    </row>
    <row r="861" spans="11:12" x14ac:dyDescent="0.3">
      <c r="K861" t="s">
        <v>15</v>
      </c>
      <c r="L861">
        <v>95000</v>
      </c>
    </row>
    <row r="862" spans="11:12" x14ac:dyDescent="0.3">
      <c r="K862" t="s">
        <v>15</v>
      </c>
      <c r="L862">
        <v>95000</v>
      </c>
    </row>
    <row r="863" spans="11:12" x14ac:dyDescent="0.3">
      <c r="K863" t="s">
        <v>15</v>
      </c>
      <c r="L863">
        <v>95000</v>
      </c>
    </row>
    <row r="864" spans="11:12" x14ac:dyDescent="0.3">
      <c r="K864" t="s">
        <v>15</v>
      </c>
      <c r="L864">
        <v>95000</v>
      </c>
    </row>
    <row r="865" spans="11:12" x14ac:dyDescent="0.3">
      <c r="K865" t="s">
        <v>15</v>
      </c>
      <c r="L865">
        <v>95000</v>
      </c>
    </row>
    <row r="866" spans="11:12" x14ac:dyDescent="0.3">
      <c r="K866" t="s">
        <v>15</v>
      </c>
      <c r="L866">
        <v>95000</v>
      </c>
    </row>
    <row r="867" spans="11:12" x14ac:dyDescent="0.3">
      <c r="K867" t="s">
        <v>15</v>
      </c>
      <c r="L867">
        <v>95000</v>
      </c>
    </row>
    <row r="868" spans="11:12" x14ac:dyDescent="0.3">
      <c r="K868" t="s">
        <v>15</v>
      </c>
      <c r="L868">
        <v>95000</v>
      </c>
    </row>
    <row r="869" spans="11:12" x14ac:dyDescent="0.3">
      <c r="K869" t="s">
        <v>15</v>
      </c>
      <c r="L869">
        <v>95000</v>
      </c>
    </row>
    <row r="870" spans="11:12" x14ac:dyDescent="0.3">
      <c r="K870" t="s">
        <v>15</v>
      </c>
      <c r="L870">
        <v>95000</v>
      </c>
    </row>
    <row r="871" spans="11:12" x14ac:dyDescent="0.3">
      <c r="K871" t="s">
        <v>15</v>
      </c>
      <c r="L871">
        <v>95000</v>
      </c>
    </row>
    <row r="872" spans="11:12" x14ac:dyDescent="0.3">
      <c r="K872" t="s">
        <v>15</v>
      </c>
      <c r="L872">
        <v>93000</v>
      </c>
    </row>
    <row r="873" spans="11:12" x14ac:dyDescent="0.3">
      <c r="K873" t="s">
        <v>15</v>
      </c>
      <c r="L873">
        <v>93000</v>
      </c>
    </row>
    <row r="874" spans="11:12" x14ac:dyDescent="0.3">
      <c r="K874" t="s">
        <v>15</v>
      </c>
      <c r="L874">
        <v>92500</v>
      </c>
    </row>
    <row r="875" spans="11:12" x14ac:dyDescent="0.3">
      <c r="K875" t="s">
        <v>15</v>
      </c>
      <c r="L875">
        <v>92000</v>
      </c>
    </row>
    <row r="876" spans="11:12" x14ac:dyDescent="0.3">
      <c r="K876" t="s">
        <v>15</v>
      </c>
      <c r="L876">
        <v>91000</v>
      </c>
    </row>
    <row r="877" spans="11:12" x14ac:dyDescent="0.3">
      <c r="K877" t="s">
        <v>15</v>
      </c>
      <c r="L877">
        <v>90000</v>
      </c>
    </row>
    <row r="878" spans="11:12" x14ac:dyDescent="0.3">
      <c r="K878" t="s">
        <v>15</v>
      </c>
      <c r="L878">
        <v>90000</v>
      </c>
    </row>
    <row r="879" spans="11:12" x14ac:dyDescent="0.3">
      <c r="K879" t="s">
        <v>15</v>
      </c>
      <c r="L879">
        <v>90000</v>
      </c>
    </row>
    <row r="880" spans="11:12" x14ac:dyDescent="0.3">
      <c r="K880" t="s">
        <v>15</v>
      </c>
      <c r="L880">
        <v>90000</v>
      </c>
    </row>
    <row r="881" spans="11:12" x14ac:dyDescent="0.3">
      <c r="K881" t="s">
        <v>15</v>
      </c>
      <c r="L881">
        <v>90000</v>
      </c>
    </row>
    <row r="882" spans="11:12" x14ac:dyDescent="0.3">
      <c r="K882" t="s">
        <v>15</v>
      </c>
      <c r="L882">
        <v>90000</v>
      </c>
    </row>
    <row r="883" spans="11:12" x14ac:dyDescent="0.3">
      <c r="K883" t="s">
        <v>15</v>
      </c>
      <c r="L883">
        <v>90000</v>
      </c>
    </row>
    <row r="884" spans="11:12" x14ac:dyDescent="0.3">
      <c r="K884" t="s">
        <v>15</v>
      </c>
      <c r="L884">
        <v>90000</v>
      </c>
    </row>
    <row r="885" spans="11:12" x14ac:dyDescent="0.3">
      <c r="K885" t="s">
        <v>15</v>
      </c>
      <c r="L885">
        <v>90000</v>
      </c>
    </row>
    <row r="886" spans="11:12" x14ac:dyDescent="0.3">
      <c r="K886" t="s">
        <v>15</v>
      </c>
      <c r="L886">
        <v>90000</v>
      </c>
    </row>
    <row r="887" spans="11:12" x14ac:dyDescent="0.3">
      <c r="K887" t="s">
        <v>15</v>
      </c>
      <c r="L887">
        <v>90000</v>
      </c>
    </row>
    <row r="888" spans="11:12" x14ac:dyDescent="0.3">
      <c r="K888" t="s">
        <v>15</v>
      </c>
      <c r="L888">
        <v>90000</v>
      </c>
    </row>
    <row r="889" spans="11:12" x14ac:dyDescent="0.3">
      <c r="K889" t="s">
        <v>15</v>
      </c>
      <c r="L889">
        <v>90000</v>
      </c>
    </row>
    <row r="890" spans="11:12" x14ac:dyDescent="0.3">
      <c r="K890" t="s">
        <v>15</v>
      </c>
      <c r="L890">
        <v>90000</v>
      </c>
    </row>
    <row r="891" spans="11:12" x14ac:dyDescent="0.3">
      <c r="K891" t="s">
        <v>15</v>
      </c>
      <c r="L891">
        <v>90000</v>
      </c>
    </row>
    <row r="892" spans="11:12" x14ac:dyDescent="0.3">
      <c r="K892" t="s">
        <v>15</v>
      </c>
      <c r="L892">
        <v>89570</v>
      </c>
    </row>
    <row r="893" spans="11:12" x14ac:dyDescent="0.3">
      <c r="K893" t="s">
        <v>15</v>
      </c>
      <c r="L893">
        <v>88000</v>
      </c>
    </row>
    <row r="894" spans="11:12" x14ac:dyDescent="0.3">
      <c r="K894" t="s">
        <v>15</v>
      </c>
      <c r="L894">
        <v>88000</v>
      </c>
    </row>
    <row r="895" spans="11:12" x14ac:dyDescent="0.3">
      <c r="K895" t="s">
        <v>15</v>
      </c>
      <c r="L895">
        <v>88000</v>
      </c>
    </row>
    <row r="896" spans="11:12" x14ac:dyDescent="0.3">
      <c r="K896" t="s">
        <v>15</v>
      </c>
      <c r="L896">
        <v>88000</v>
      </c>
    </row>
    <row r="897" spans="11:12" x14ac:dyDescent="0.3">
      <c r="K897" t="s">
        <v>15</v>
      </c>
      <c r="L897">
        <v>87000</v>
      </c>
    </row>
    <row r="898" spans="11:12" x14ac:dyDescent="0.3">
      <c r="K898" t="s">
        <v>15</v>
      </c>
      <c r="L898">
        <v>86000</v>
      </c>
    </row>
    <row r="899" spans="11:12" x14ac:dyDescent="0.3">
      <c r="K899" t="s">
        <v>15</v>
      </c>
      <c r="L899">
        <v>85000</v>
      </c>
    </row>
    <row r="900" spans="11:12" x14ac:dyDescent="0.3">
      <c r="K900" t="s">
        <v>15</v>
      </c>
      <c r="L900">
        <v>85000</v>
      </c>
    </row>
    <row r="901" spans="11:12" x14ac:dyDescent="0.3">
      <c r="K901" t="s">
        <v>15</v>
      </c>
      <c r="L901">
        <v>85000</v>
      </c>
    </row>
    <row r="902" spans="11:12" x14ac:dyDescent="0.3">
      <c r="K902" t="s">
        <v>15</v>
      </c>
      <c r="L902">
        <v>85000</v>
      </c>
    </row>
    <row r="903" spans="11:12" x14ac:dyDescent="0.3">
      <c r="K903" t="s">
        <v>15</v>
      </c>
      <c r="L903">
        <v>85000</v>
      </c>
    </row>
    <row r="904" spans="11:12" x14ac:dyDescent="0.3">
      <c r="K904" t="s">
        <v>15</v>
      </c>
      <c r="L904">
        <v>85000</v>
      </c>
    </row>
    <row r="905" spans="11:12" x14ac:dyDescent="0.3">
      <c r="K905" t="s">
        <v>15</v>
      </c>
      <c r="L905">
        <v>85000</v>
      </c>
    </row>
    <row r="906" spans="11:12" x14ac:dyDescent="0.3">
      <c r="K906" t="s">
        <v>15</v>
      </c>
      <c r="L906">
        <v>84000</v>
      </c>
    </row>
    <row r="907" spans="11:12" x14ac:dyDescent="0.3">
      <c r="K907" t="s">
        <v>15</v>
      </c>
      <c r="L907">
        <v>84000</v>
      </c>
    </row>
    <row r="908" spans="11:12" x14ac:dyDescent="0.3">
      <c r="K908" t="s">
        <v>15</v>
      </c>
      <c r="L908">
        <v>83000</v>
      </c>
    </row>
    <row r="909" spans="11:12" x14ac:dyDescent="0.3">
      <c r="K909" t="s">
        <v>15</v>
      </c>
      <c r="L909">
        <v>83000</v>
      </c>
    </row>
    <row r="910" spans="11:12" x14ac:dyDescent="0.3">
      <c r="K910" t="s">
        <v>15</v>
      </c>
      <c r="L910">
        <v>83000</v>
      </c>
    </row>
    <row r="911" spans="11:12" x14ac:dyDescent="0.3">
      <c r="K911" t="s">
        <v>15</v>
      </c>
      <c r="L911">
        <v>83000</v>
      </c>
    </row>
    <row r="912" spans="11:12" x14ac:dyDescent="0.3">
      <c r="K912" t="s">
        <v>15</v>
      </c>
      <c r="L912">
        <v>83000</v>
      </c>
    </row>
    <row r="913" spans="11:12" x14ac:dyDescent="0.3">
      <c r="K913" t="s">
        <v>15</v>
      </c>
      <c r="L913">
        <v>82000</v>
      </c>
    </row>
    <row r="914" spans="11:12" x14ac:dyDescent="0.3">
      <c r="K914" t="s">
        <v>15</v>
      </c>
      <c r="L914">
        <v>82000</v>
      </c>
    </row>
    <row r="915" spans="11:12" x14ac:dyDescent="0.3">
      <c r="K915" t="s">
        <v>15</v>
      </c>
      <c r="L915">
        <v>82000</v>
      </c>
    </row>
    <row r="916" spans="11:12" x14ac:dyDescent="0.3">
      <c r="K916" t="s">
        <v>15</v>
      </c>
      <c r="L916">
        <v>81500</v>
      </c>
    </row>
    <row r="917" spans="11:12" x14ac:dyDescent="0.3">
      <c r="K917" t="s">
        <v>15</v>
      </c>
      <c r="L917">
        <v>81000</v>
      </c>
    </row>
    <row r="918" spans="11:12" x14ac:dyDescent="0.3">
      <c r="K918" t="s">
        <v>15</v>
      </c>
      <c r="L918">
        <v>80000</v>
      </c>
    </row>
    <row r="919" spans="11:12" x14ac:dyDescent="0.3">
      <c r="K919" t="s">
        <v>15</v>
      </c>
      <c r="L919">
        <v>80000</v>
      </c>
    </row>
    <row r="920" spans="11:12" x14ac:dyDescent="0.3">
      <c r="K920" t="s">
        <v>15</v>
      </c>
      <c r="L920">
        <v>80000</v>
      </c>
    </row>
    <row r="921" spans="11:12" x14ac:dyDescent="0.3">
      <c r="K921" t="s">
        <v>15</v>
      </c>
      <c r="L921">
        <v>80000</v>
      </c>
    </row>
    <row r="922" spans="11:12" x14ac:dyDescent="0.3">
      <c r="K922" t="s">
        <v>15</v>
      </c>
      <c r="L922">
        <v>80000</v>
      </c>
    </row>
    <row r="923" spans="11:12" x14ac:dyDescent="0.3">
      <c r="K923" t="s">
        <v>15</v>
      </c>
      <c r="L923">
        <v>80000</v>
      </c>
    </row>
    <row r="924" spans="11:12" x14ac:dyDescent="0.3">
      <c r="K924" t="s">
        <v>15</v>
      </c>
      <c r="L924">
        <v>80000</v>
      </c>
    </row>
    <row r="925" spans="11:12" x14ac:dyDescent="0.3">
      <c r="K925" t="s">
        <v>15</v>
      </c>
      <c r="L925">
        <v>80000</v>
      </c>
    </row>
    <row r="926" spans="11:12" x14ac:dyDescent="0.3">
      <c r="K926" t="s">
        <v>15</v>
      </c>
      <c r="L926">
        <v>80000</v>
      </c>
    </row>
    <row r="927" spans="11:12" x14ac:dyDescent="0.3">
      <c r="K927" t="s">
        <v>15</v>
      </c>
      <c r="L927">
        <v>80000</v>
      </c>
    </row>
    <row r="928" spans="11:12" x14ac:dyDescent="0.3">
      <c r="K928" t="s">
        <v>15</v>
      </c>
      <c r="L928">
        <v>80000</v>
      </c>
    </row>
    <row r="929" spans="11:12" x14ac:dyDescent="0.3">
      <c r="K929" t="s">
        <v>15</v>
      </c>
      <c r="L929">
        <v>80000</v>
      </c>
    </row>
    <row r="930" spans="11:12" x14ac:dyDescent="0.3">
      <c r="K930" t="s">
        <v>15</v>
      </c>
      <c r="L930">
        <v>80000</v>
      </c>
    </row>
    <row r="931" spans="11:12" x14ac:dyDescent="0.3">
      <c r="K931" t="s">
        <v>15</v>
      </c>
      <c r="L931">
        <v>80000</v>
      </c>
    </row>
    <row r="932" spans="11:12" x14ac:dyDescent="0.3">
      <c r="K932" t="s">
        <v>15</v>
      </c>
      <c r="L932">
        <v>80000</v>
      </c>
    </row>
    <row r="933" spans="11:12" x14ac:dyDescent="0.3">
      <c r="K933" t="s">
        <v>15</v>
      </c>
      <c r="L933">
        <v>80000</v>
      </c>
    </row>
    <row r="934" spans="11:12" x14ac:dyDescent="0.3">
      <c r="K934" t="s">
        <v>15</v>
      </c>
      <c r="L934">
        <v>80000</v>
      </c>
    </row>
    <row r="935" spans="11:12" x14ac:dyDescent="0.3">
      <c r="K935" t="s">
        <v>15</v>
      </c>
      <c r="L935">
        <v>80000</v>
      </c>
    </row>
    <row r="936" spans="11:12" x14ac:dyDescent="0.3">
      <c r="K936" t="s">
        <v>15</v>
      </c>
      <c r="L936">
        <v>80000</v>
      </c>
    </row>
    <row r="937" spans="11:12" x14ac:dyDescent="0.3">
      <c r="K937" t="s">
        <v>15</v>
      </c>
      <c r="L937">
        <v>80000</v>
      </c>
    </row>
    <row r="938" spans="11:12" x14ac:dyDescent="0.3">
      <c r="K938" t="s">
        <v>15</v>
      </c>
      <c r="L938">
        <v>80000</v>
      </c>
    </row>
    <row r="939" spans="11:12" x14ac:dyDescent="0.3">
      <c r="K939" t="s">
        <v>15</v>
      </c>
      <c r="L939">
        <v>80000</v>
      </c>
    </row>
    <row r="940" spans="11:12" x14ac:dyDescent="0.3">
      <c r="K940" t="s">
        <v>15</v>
      </c>
      <c r="L940">
        <v>80000</v>
      </c>
    </row>
    <row r="941" spans="11:12" x14ac:dyDescent="0.3">
      <c r="K941" t="s">
        <v>15</v>
      </c>
      <c r="L941">
        <v>80000</v>
      </c>
    </row>
    <row r="942" spans="11:12" x14ac:dyDescent="0.3">
      <c r="K942" t="s">
        <v>15</v>
      </c>
      <c r="L942">
        <v>79000</v>
      </c>
    </row>
    <row r="943" spans="11:12" x14ac:dyDescent="0.3">
      <c r="K943" t="s">
        <v>15</v>
      </c>
      <c r="L943">
        <v>79000</v>
      </c>
    </row>
    <row r="944" spans="11:12" x14ac:dyDescent="0.3">
      <c r="K944" t="s">
        <v>15</v>
      </c>
      <c r="L944">
        <v>79000</v>
      </c>
    </row>
    <row r="945" spans="11:12" x14ac:dyDescent="0.3">
      <c r="K945" t="s">
        <v>15</v>
      </c>
      <c r="L945">
        <v>78500</v>
      </c>
    </row>
    <row r="946" spans="11:12" x14ac:dyDescent="0.3">
      <c r="K946" t="s">
        <v>15</v>
      </c>
      <c r="L946">
        <v>78000</v>
      </c>
    </row>
    <row r="947" spans="11:12" x14ac:dyDescent="0.3">
      <c r="K947" t="s">
        <v>15</v>
      </c>
      <c r="L947">
        <v>78000</v>
      </c>
    </row>
    <row r="948" spans="11:12" x14ac:dyDescent="0.3">
      <c r="K948" t="s">
        <v>15</v>
      </c>
      <c r="L948">
        <v>78000</v>
      </c>
    </row>
    <row r="949" spans="11:12" x14ac:dyDescent="0.3">
      <c r="K949" t="s">
        <v>15</v>
      </c>
      <c r="L949">
        <v>78000</v>
      </c>
    </row>
    <row r="950" spans="11:12" x14ac:dyDescent="0.3">
      <c r="K950" t="s">
        <v>15</v>
      </c>
      <c r="L950">
        <v>78000</v>
      </c>
    </row>
    <row r="951" spans="11:12" x14ac:dyDescent="0.3">
      <c r="K951" t="s">
        <v>15</v>
      </c>
      <c r="L951">
        <v>78000</v>
      </c>
    </row>
    <row r="952" spans="11:12" x14ac:dyDescent="0.3">
      <c r="K952" t="s">
        <v>15</v>
      </c>
      <c r="L952">
        <v>78000</v>
      </c>
    </row>
    <row r="953" spans="11:12" x14ac:dyDescent="0.3">
      <c r="K953" t="s">
        <v>15</v>
      </c>
      <c r="L953">
        <v>77600</v>
      </c>
    </row>
    <row r="954" spans="11:12" x14ac:dyDescent="0.3">
      <c r="K954" t="s">
        <v>15</v>
      </c>
      <c r="L954">
        <v>77000</v>
      </c>
    </row>
    <row r="955" spans="11:12" x14ac:dyDescent="0.3">
      <c r="K955" t="s">
        <v>15</v>
      </c>
      <c r="L955">
        <v>77000</v>
      </c>
    </row>
    <row r="956" spans="11:12" x14ac:dyDescent="0.3">
      <c r="K956" t="s">
        <v>15</v>
      </c>
      <c r="L956">
        <v>77000</v>
      </c>
    </row>
    <row r="957" spans="11:12" x14ac:dyDescent="0.3">
      <c r="K957" t="s">
        <v>15</v>
      </c>
      <c r="L957">
        <v>77000</v>
      </c>
    </row>
    <row r="958" spans="11:12" x14ac:dyDescent="0.3">
      <c r="K958" t="s">
        <v>15</v>
      </c>
      <c r="L958">
        <v>76900</v>
      </c>
    </row>
    <row r="959" spans="11:12" x14ac:dyDescent="0.3">
      <c r="K959" t="s">
        <v>15</v>
      </c>
      <c r="L959">
        <v>76000</v>
      </c>
    </row>
    <row r="960" spans="11:12" x14ac:dyDescent="0.3">
      <c r="K960" t="s">
        <v>15</v>
      </c>
      <c r="L960">
        <v>76000</v>
      </c>
    </row>
    <row r="961" spans="11:12" x14ac:dyDescent="0.3">
      <c r="K961" t="s">
        <v>15</v>
      </c>
      <c r="L961">
        <v>76000</v>
      </c>
    </row>
    <row r="962" spans="11:12" x14ac:dyDescent="0.3">
      <c r="K962" t="s">
        <v>15</v>
      </c>
      <c r="L962">
        <v>76000</v>
      </c>
    </row>
    <row r="963" spans="11:12" x14ac:dyDescent="0.3">
      <c r="K963" t="s">
        <v>15</v>
      </c>
      <c r="L963">
        <v>75000</v>
      </c>
    </row>
    <row r="964" spans="11:12" x14ac:dyDescent="0.3">
      <c r="K964" t="s">
        <v>15</v>
      </c>
      <c r="L964">
        <v>75000</v>
      </c>
    </row>
    <row r="965" spans="11:12" x14ac:dyDescent="0.3">
      <c r="K965" t="s">
        <v>15</v>
      </c>
      <c r="L965">
        <v>75000</v>
      </c>
    </row>
    <row r="966" spans="11:12" x14ac:dyDescent="0.3">
      <c r="K966" t="s">
        <v>15</v>
      </c>
      <c r="L966">
        <v>75000</v>
      </c>
    </row>
    <row r="967" spans="11:12" x14ac:dyDescent="0.3">
      <c r="K967" t="s">
        <v>15</v>
      </c>
      <c r="L967">
        <v>75000</v>
      </c>
    </row>
    <row r="968" spans="11:12" x14ac:dyDescent="0.3">
      <c r="K968" t="s">
        <v>15</v>
      </c>
      <c r="L968">
        <v>75000</v>
      </c>
    </row>
    <row r="969" spans="11:12" x14ac:dyDescent="0.3">
      <c r="K969" t="s">
        <v>15</v>
      </c>
      <c r="L969">
        <v>75000</v>
      </c>
    </row>
    <row r="970" spans="11:12" x14ac:dyDescent="0.3">
      <c r="K970" t="s">
        <v>15</v>
      </c>
      <c r="L970">
        <v>75000</v>
      </c>
    </row>
    <row r="971" spans="11:12" x14ac:dyDescent="0.3">
      <c r="K971" t="s">
        <v>15</v>
      </c>
      <c r="L971">
        <v>75000</v>
      </c>
    </row>
    <row r="972" spans="11:12" x14ac:dyDescent="0.3">
      <c r="K972" t="s">
        <v>15</v>
      </c>
      <c r="L972">
        <v>75000</v>
      </c>
    </row>
    <row r="973" spans="11:12" x14ac:dyDescent="0.3">
      <c r="K973" t="s">
        <v>15</v>
      </c>
      <c r="L973">
        <v>75000</v>
      </c>
    </row>
    <row r="974" spans="11:12" x14ac:dyDescent="0.3">
      <c r="K974" t="s">
        <v>15</v>
      </c>
      <c r="L974">
        <v>75000</v>
      </c>
    </row>
    <row r="975" spans="11:12" x14ac:dyDescent="0.3">
      <c r="K975" t="s">
        <v>15</v>
      </c>
      <c r="L975">
        <v>75000</v>
      </c>
    </row>
    <row r="976" spans="11:12" x14ac:dyDescent="0.3">
      <c r="K976" t="s">
        <v>15</v>
      </c>
      <c r="L976">
        <v>75000</v>
      </c>
    </row>
    <row r="977" spans="11:12" x14ac:dyDescent="0.3">
      <c r="K977" t="s">
        <v>15</v>
      </c>
      <c r="L977">
        <v>75000</v>
      </c>
    </row>
    <row r="978" spans="11:12" x14ac:dyDescent="0.3">
      <c r="K978" t="s">
        <v>15</v>
      </c>
      <c r="L978">
        <v>75000</v>
      </c>
    </row>
    <row r="979" spans="11:12" x14ac:dyDescent="0.3">
      <c r="K979" t="s">
        <v>15</v>
      </c>
      <c r="L979">
        <v>75000</v>
      </c>
    </row>
    <row r="980" spans="11:12" x14ac:dyDescent="0.3">
      <c r="K980" t="s">
        <v>15</v>
      </c>
      <c r="L980">
        <v>75000</v>
      </c>
    </row>
    <row r="981" spans="11:12" x14ac:dyDescent="0.3">
      <c r="K981" t="s">
        <v>15</v>
      </c>
      <c r="L981">
        <v>75000</v>
      </c>
    </row>
    <row r="982" spans="11:12" x14ac:dyDescent="0.3">
      <c r="K982" t="s">
        <v>15</v>
      </c>
      <c r="L982">
        <v>75000</v>
      </c>
    </row>
    <row r="983" spans="11:12" x14ac:dyDescent="0.3">
      <c r="K983" t="s">
        <v>15</v>
      </c>
      <c r="L983">
        <v>75000</v>
      </c>
    </row>
    <row r="984" spans="11:12" x14ac:dyDescent="0.3">
      <c r="K984" t="s">
        <v>15</v>
      </c>
      <c r="L984">
        <v>75000</v>
      </c>
    </row>
    <row r="985" spans="11:12" x14ac:dyDescent="0.3">
      <c r="K985" t="s">
        <v>15</v>
      </c>
      <c r="L985">
        <v>75000</v>
      </c>
    </row>
    <row r="986" spans="11:12" x14ac:dyDescent="0.3">
      <c r="K986" t="s">
        <v>15</v>
      </c>
      <c r="L986">
        <v>75000</v>
      </c>
    </row>
    <row r="987" spans="11:12" x14ac:dyDescent="0.3">
      <c r="K987" t="s">
        <v>15</v>
      </c>
      <c r="L987">
        <v>75000</v>
      </c>
    </row>
    <row r="988" spans="11:12" x14ac:dyDescent="0.3">
      <c r="K988" t="s">
        <v>15</v>
      </c>
      <c r="L988">
        <v>75000</v>
      </c>
    </row>
    <row r="989" spans="11:12" x14ac:dyDescent="0.3">
      <c r="K989" t="s">
        <v>15</v>
      </c>
      <c r="L989">
        <v>75000</v>
      </c>
    </row>
    <row r="990" spans="11:12" x14ac:dyDescent="0.3">
      <c r="K990" t="s">
        <v>15</v>
      </c>
      <c r="L990">
        <v>75000</v>
      </c>
    </row>
    <row r="991" spans="11:12" x14ac:dyDescent="0.3">
      <c r="K991" t="s">
        <v>15</v>
      </c>
      <c r="L991">
        <v>75000</v>
      </c>
    </row>
    <row r="992" spans="11:12" x14ac:dyDescent="0.3">
      <c r="K992" t="s">
        <v>15</v>
      </c>
      <c r="L992">
        <v>75000</v>
      </c>
    </row>
    <row r="993" spans="11:12" x14ac:dyDescent="0.3">
      <c r="K993" t="s">
        <v>15</v>
      </c>
      <c r="L993">
        <v>75000</v>
      </c>
    </row>
    <row r="994" spans="11:12" x14ac:dyDescent="0.3">
      <c r="K994" t="s">
        <v>15</v>
      </c>
      <c r="L994">
        <v>75000</v>
      </c>
    </row>
    <row r="995" spans="11:12" x14ac:dyDescent="0.3">
      <c r="K995" t="s">
        <v>15</v>
      </c>
      <c r="L995">
        <v>75000</v>
      </c>
    </row>
    <row r="996" spans="11:12" x14ac:dyDescent="0.3">
      <c r="K996" t="s">
        <v>15</v>
      </c>
      <c r="L996">
        <v>75000</v>
      </c>
    </row>
    <row r="997" spans="11:12" x14ac:dyDescent="0.3">
      <c r="K997" t="s">
        <v>15</v>
      </c>
      <c r="L997">
        <v>74000</v>
      </c>
    </row>
    <row r="998" spans="11:12" x14ac:dyDescent="0.3">
      <c r="K998" t="s">
        <v>15</v>
      </c>
      <c r="L998">
        <v>74000</v>
      </c>
    </row>
    <row r="999" spans="11:12" x14ac:dyDescent="0.3">
      <c r="K999" t="s">
        <v>15</v>
      </c>
      <c r="L999">
        <v>74000</v>
      </c>
    </row>
    <row r="1000" spans="11:12" x14ac:dyDescent="0.3">
      <c r="K1000" t="s">
        <v>15</v>
      </c>
      <c r="L1000">
        <v>74000</v>
      </c>
    </row>
    <row r="1001" spans="11:12" x14ac:dyDescent="0.3">
      <c r="K1001" t="s">
        <v>15</v>
      </c>
      <c r="L1001">
        <v>74000</v>
      </c>
    </row>
    <row r="1002" spans="11:12" x14ac:dyDescent="0.3">
      <c r="K1002" t="s">
        <v>15</v>
      </c>
      <c r="L1002">
        <v>73000</v>
      </c>
    </row>
    <row r="1003" spans="11:12" x14ac:dyDescent="0.3">
      <c r="K1003" t="s">
        <v>15</v>
      </c>
      <c r="L1003">
        <v>73000</v>
      </c>
    </row>
    <row r="1004" spans="11:12" x14ac:dyDescent="0.3">
      <c r="K1004" t="s">
        <v>15</v>
      </c>
      <c r="L1004">
        <v>73000</v>
      </c>
    </row>
    <row r="1005" spans="11:12" x14ac:dyDescent="0.3">
      <c r="K1005" t="s">
        <v>15</v>
      </c>
      <c r="L1005">
        <v>73000</v>
      </c>
    </row>
    <row r="1006" spans="11:12" x14ac:dyDescent="0.3">
      <c r="K1006" t="s">
        <v>15</v>
      </c>
      <c r="L1006">
        <v>72500</v>
      </c>
    </row>
    <row r="1007" spans="11:12" x14ac:dyDescent="0.3">
      <c r="K1007" t="s">
        <v>15</v>
      </c>
      <c r="L1007">
        <v>72000</v>
      </c>
    </row>
    <row r="1008" spans="11:12" x14ac:dyDescent="0.3">
      <c r="K1008" t="s">
        <v>15</v>
      </c>
      <c r="L1008">
        <v>72000</v>
      </c>
    </row>
    <row r="1009" spans="11:12" x14ac:dyDescent="0.3">
      <c r="K1009" t="s">
        <v>15</v>
      </c>
      <c r="L1009">
        <v>72000</v>
      </c>
    </row>
    <row r="1010" spans="11:12" x14ac:dyDescent="0.3">
      <c r="K1010" t="s">
        <v>15</v>
      </c>
      <c r="L1010">
        <v>72000</v>
      </c>
    </row>
    <row r="1011" spans="11:12" x14ac:dyDescent="0.3">
      <c r="K1011" t="s">
        <v>15</v>
      </c>
      <c r="L1011">
        <v>72000</v>
      </c>
    </row>
    <row r="1012" spans="11:12" x14ac:dyDescent="0.3">
      <c r="K1012" t="s">
        <v>15</v>
      </c>
      <c r="L1012">
        <v>72000</v>
      </c>
    </row>
    <row r="1013" spans="11:12" x14ac:dyDescent="0.3">
      <c r="K1013" t="s">
        <v>15</v>
      </c>
      <c r="L1013">
        <v>72000</v>
      </c>
    </row>
    <row r="1014" spans="11:12" x14ac:dyDescent="0.3">
      <c r="K1014" t="s">
        <v>15</v>
      </c>
      <c r="L1014">
        <v>72000</v>
      </c>
    </row>
    <row r="1015" spans="11:12" x14ac:dyDescent="0.3">
      <c r="K1015" t="s">
        <v>15</v>
      </c>
      <c r="L1015">
        <v>71750</v>
      </c>
    </row>
    <row r="1016" spans="11:12" x14ac:dyDescent="0.3">
      <c r="K1016" t="s">
        <v>15</v>
      </c>
      <c r="L1016">
        <v>71000</v>
      </c>
    </row>
    <row r="1017" spans="11:12" x14ac:dyDescent="0.3">
      <c r="K1017" t="s">
        <v>15</v>
      </c>
      <c r="L1017">
        <v>71000</v>
      </c>
    </row>
    <row r="1018" spans="11:12" x14ac:dyDescent="0.3">
      <c r="K1018" t="s">
        <v>15</v>
      </c>
      <c r="L1018">
        <v>71000</v>
      </c>
    </row>
    <row r="1019" spans="11:12" x14ac:dyDescent="0.3">
      <c r="K1019" t="s">
        <v>15</v>
      </c>
      <c r="L1019">
        <v>71000</v>
      </c>
    </row>
    <row r="1020" spans="11:12" x14ac:dyDescent="0.3">
      <c r="K1020" t="s">
        <v>15</v>
      </c>
      <c r="L1020">
        <v>70500</v>
      </c>
    </row>
    <row r="1021" spans="11:12" x14ac:dyDescent="0.3">
      <c r="K1021" t="s">
        <v>15</v>
      </c>
      <c r="L1021">
        <v>70500</v>
      </c>
    </row>
    <row r="1022" spans="11:12" x14ac:dyDescent="0.3">
      <c r="K1022" t="s">
        <v>15</v>
      </c>
      <c r="L1022">
        <v>70000</v>
      </c>
    </row>
    <row r="1023" spans="11:12" x14ac:dyDescent="0.3">
      <c r="K1023" t="s">
        <v>15</v>
      </c>
      <c r="L1023">
        <v>70000</v>
      </c>
    </row>
    <row r="1024" spans="11:12" x14ac:dyDescent="0.3">
      <c r="K1024" t="s">
        <v>15</v>
      </c>
      <c r="L1024">
        <v>70000</v>
      </c>
    </row>
    <row r="1025" spans="11:12" x14ac:dyDescent="0.3">
      <c r="K1025" t="s">
        <v>15</v>
      </c>
      <c r="L1025">
        <v>70000</v>
      </c>
    </row>
    <row r="1026" spans="11:12" x14ac:dyDescent="0.3">
      <c r="K1026" t="s">
        <v>15</v>
      </c>
      <c r="L1026">
        <v>70000</v>
      </c>
    </row>
    <row r="1027" spans="11:12" x14ac:dyDescent="0.3">
      <c r="K1027" t="s">
        <v>15</v>
      </c>
      <c r="L1027">
        <v>70000</v>
      </c>
    </row>
    <row r="1028" spans="11:12" x14ac:dyDescent="0.3">
      <c r="K1028" t="s">
        <v>15</v>
      </c>
      <c r="L1028">
        <v>70000</v>
      </c>
    </row>
    <row r="1029" spans="11:12" x14ac:dyDescent="0.3">
      <c r="K1029" t="s">
        <v>15</v>
      </c>
      <c r="L1029">
        <v>70000</v>
      </c>
    </row>
    <row r="1030" spans="11:12" x14ac:dyDescent="0.3">
      <c r="K1030" t="s">
        <v>15</v>
      </c>
      <c r="L1030">
        <v>70000</v>
      </c>
    </row>
    <row r="1031" spans="11:12" x14ac:dyDescent="0.3">
      <c r="K1031" t="s">
        <v>15</v>
      </c>
      <c r="L1031">
        <v>70000</v>
      </c>
    </row>
    <row r="1032" spans="11:12" x14ac:dyDescent="0.3">
      <c r="K1032" t="s">
        <v>15</v>
      </c>
      <c r="L1032">
        <v>70000</v>
      </c>
    </row>
    <row r="1033" spans="11:12" x14ac:dyDescent="0.3">
      <c r="K1033" t="s">
        <v>15</v>
      </c>
      <c r="L1033">
        <v>70000</v>
      </c>
    </row>
    <row r="1034" spans="11:12" x14ac:dyDescent="0.3">
      <c r="K1034" t="s">
        <v>15</v>
      </c>
      <c r="L1034">
        <v>70000</v>
      </c>
    </row>
    <row r="1035" spans="11:12" x14ac:dyDescent="0.3">
      <c r="K1035" t="s">
        <v>15</v>
      </c>
      <c r="L1035">
        <v>70000</v>
      </c>
    </row>
    <row r="1036" spans="11:12" x14ac:dyDescent="0.3">
      <c r="K1036" t="s">
        <v>15</v>
      </c>
      <c r="L1036">
        <v>70000</v>
      </c>
    </row>
    <row r="1037" spans="11:12" x14ac:dyDescent="0.3">
      <c r="K1037" t="s">
        <v>15</v>
      </c>
      <c r="L1037">
        <v>70000</v>
      </c>
    </row>
    <row r="1038" spans="11:12" x14ac:dyDescent="0.3">
      <c r="K1038" t="s">
        <v>15</v>
      </c>
      <c r="L1038">
        <v>70000</v>
      </c>
    </row>
    <row r="1039" spans="11:12" x14ac:dyDescent="0.3">
      <c r="K1039" t="s">
        <v>15</v>
      </c>
      <c r="L1039">
        <v>70000</v>
      </c>
    </row>
    <row r="1040" spans="11:12" x14ac:dyDescent="0.3">
      <c r="K1040" t="s">
        <v>15</v>
      </c>
      <c r="L1040">
        <v>70000</v>
      </c>
    </row>
    <row r="1041" spans="11:12" x14ac:dyDescent="0.3">
      <c r="K1041" t="s">
        <v>15</v>
      </c>
      <c r="L1041">
        <v>70000</v>
      </c>
    </row>
    <row r="1042" spans="11:12" x14ac:dyDescent="0.3">
      <c r="K1042" t="s">
        <v>15</v>
      </c>
      <c r="L1042">
        <v>70000</v>
      </c>
    </row>
    <row r="1043" spans="11:12" x14ac:dyDescent="0.3">
      <c r="K1043" t="s">
        <v>15</v>
      </c>
      <c r="L1043">
        <v>70000</v>
      </c>
    </row>
    <row r="1044" spans="11:12" x14ac:dyDescent="0.3">
      <c r="K1044" t="s">
        <v>15</v>
      </c>
      <c r="L1044">
        <v>70000</v>
      </c>
    </row>
    <row r="1045" spans="11:12" x14ac:dyDescent="0.3">
      <c r="K1045" t="s">
        <v>15</v>
      </c>
      <c r="L1045">
        <v>69000</v>
      </c>
    </row>
    <row r="1046" spans="11:12" x14ac:dyDescent="0.3">
      <c r="K1046" t="s">
        <v>15</v>
      </c>
      <c r="L1046">
        <v>69000</v>
      </c>
    </row>
    <row r="1047" spans="11:12" x14ac:dyDescent="0.3">
      <c r="K1047" t="s">
        <v>15</v>
      </c>
      <c r="L1047">
        <v>68500</v>
      </c>
    </row>
    <row r="1048" spans="11:12" x14ac:dyDescent="0.3">
      <c r="K1048" t="s">
        <v>15</v>
      </c>
      <c r="L1048">
        <v>68000</v>
      </c>
    </row>
    <row r="1049" spans="11:12" x14ac:dyDescent="0.3">
      <c r="K1049" t="s">
        <v>15</v>
      </c>
      <c r="L1049">
        <v>68000</v>
      </c>
    </row>
    <row r="1050" spans="11:12" x14ac:dyDescent="0.3">
      <c r="K1050" t="s">
        <v>15</v>
      </c>
      <c r="L1050">
        <v>68000</v>
      </c>
    </row>
    <row r="1051" spans="11:12" x14ac:dyDescent="0.3">
      <c r="K1051" t="s">
        <v>15</v>
      </c>
      <c r="L1051">
        <v>68000</v>
      </c>
    </row>
    <row r="1052" spans="11:12" x14ac:dyDescent="0.3">
      <c r="K1052" t="s">
        <v>15</v>
      </c>
      <c r="L1052">
        <v>68000</v>
      </c>
    </row>
    <row r="1053" spans="11:12" x14ac:dyDescent="0.3">
      <c r="K1053" t="s">
        <v>15</v>
      </c>
      <c r="L1053">
        <v>68000</v>
      </c>
    </row>
    <row r="1054" spans="11:12" x14ac:dyDescent="0.3">
      <c r="K1054" t="s">
        <v>15</v>
      </c>
      <c r="L1054">
        <v>68000</v>
      </c>
    </row>
    <row r="1055" spans="11:12" x14ac:dyDescent="0.3">
      <c r="K1055" t="s">
        <v>15</v>
      </c>
      <c r="L1055">
        <v>67500</v>
      </c>
    </row>
    <row r="1056" spans="11:12" x14ac:dyDescent="0.3">
      <c r="K1056" t="s">
        <v>15</v>
      </c>
      <c r="L1056">
        <v>67200</v>
      </c>
    </row>
    <row r="1057" spans="11:12" x14ac:dyDescent="0.3">
      <c r="K1057" t="s">
        <v>15</v>
      </c>
      <c r="L1057">
        <v>67000</v>
      </c>
    </row>
    <row r="1058" spans="11:12" x14ac:dyDescent="0.3">
      <c r="K1058" t="s">
        <v>15</v>
      </c>
      <c r="L1058">
        <v>67000</v>
      </c>
    </row>
    <row r="1059" spans="11:12" x14ac:dyDescent="0.3">
      <c r="K1059" t="s">
        <v>15</v>
      </c>
      <c r="L1059">
        <v>67000</v>
      </c>
    </row>
    <row r="1060" spans="11:12" x14ac:dyDescent="0.3">
      <c r="K1060" t="s">
        <v>15</v>
      </c>
      <c r="L1060">
        <v>67000</v>
      </c>
    </row>
    <row r="1061" spans="11:12" x14ac:dyDescent="0.3">
      <c r="K1061" t="s">
        <v>15</v>
      </c>
      <c r="L1061">
        <v>67000</v>
      </c>
    </row>
    <row r="1062" spans="11:12" x14ac:dyDescent="0.3">
      <c r="K1062" t="s">
        <v>15</v>
      </c>
      <c r="L1062">
        <v>66800</v>
      </c>
    </row>
    <row r="1063" spans="11:12" x14ac:dyDescent="0.3">
      <c r="K1063" t="s">
        <v>15</v>
      </c>
      <c r="L1063">
        <v>66300</v>
      </c>
    </row>
    <row r="1064" spans="11:12" x14ac:dyDescent="0.3">
      <c r="K1064" t="s">
        <v>15</v>
      </c>
      <c r="L1064">
        <v>66000</v>
      </c>
    </row>
    <row r="1065" spans="11:12" x14ac:dyDescent="0.3">
      <c r="K1065" t="s">
        <v>15</v>
      </c>
      <c r="L1065">
        <v>66000</v>
      </c>
    </row>
    <row r="1066" spans="11:12" x14ac:dyDescent="0.3">
      <c r="K1066" t="s">
        <v>15</v>
      </c>
      <c r="L1066">
        <v>65900</v>
      </c>
    </row>
    <row r="1067" spans="11:12" x14ac:dyDescent="0.3">
      <c r="K1067" t="s">
        <v>15</v>
      </c>
      <c r="L1067">
        <v>65000</v>
      </c>
    </row>
    <row r="1068" spans="11:12" x14ac:dyDescent="0.3">
      <c r="K1068" t="s">
        <v>15</v>
      </c>
      <c r="L1068">
        <v>65000</v>
      </c>
    </row>
    <row r="1069" spans="11:12" x14ac:dyDescent="0.3">
      <c r="K1069" t="s">
        <v>15</v>
      </c>
      <c r="L1069">
        <v>65000</v>
      </c>
    </row>
    <row r="1070" spans="11:12" x14ac:dyDescent="0.3">
      <c r="K1070" t="s">
        <v>15</v>
      </c>
      <c r="L1070">
        <v>65000</v>
      </c>
    </row>
    <row r="1071" spans="11:12" x14ac:dyDescent="0.3">
      <c r="K1071" t="s">
        <v>15</v>
      </c>
      <c r="L1071">
        <v>65000</v>
      </c>
    </row>
    <row r="1072" spans="11:12" x14ac:dyDescent="0.3">
      <c r="K1072" t="s">
        <v>15</v>
      </c>
      <c r="L1072">
        <v>65000</v>
      </c>
    </row>
    <row r="1073" spans="11:12" x14ac:dyDescent="0.3">
      <c r="K1073" t="s">
        <v>15</v>
      </c>
      <c r="L1073">
        <v>65000</v>
      </c>
    </row>
    <row r="1074" spans="11:12" x14ac:dyDescent="0.3">
      <c r="K1074" t="s">
        <v>15</v>
      </c>
      <c r="L1074">
        <v>65000</v>
      </c>
    </row>
    <row r="1075" spans="11:12" x14ac:dyDescent="0.3">
      <c r="K1075" t="s">
        <v>15</v>
      </c>
      <c r="L1075">
        <v>65000</v>
      </c>
    </row>
    <row r="1076" spans="11:12" x14ac:dyDescent="0.3">
      <c r="K1076" t="s">
        <v>15</v>
      </c>
      <c r="L1076">
        <v>65000</v>
      </c>
    </row>
    <row r="1077" spans="11:12" x14ac:dyDescent="0.3">
      <c r="K1077" t="s">
        <v>15</v>
      </c>
      <c r="L1077">
        <v>65000</v>
      </c>
    </row>
    <row r="1078" spans="11:12" x14ac:dyDescent="0.3">
      <c r="K1078" t="s">
        <v>15</v>
      </c>
      <c r="L1078">
        <v>65000</v>
      </c>
    </row>
    <row r="1079" spans="11:12" x14ac:dyDescent="0.3">
      <c r="K1079" t="s">
        <v>15</v>
      </c>
      <c r="L1079">
        <v>65000</v>
      </c>
    </row>
    <row r="1080" spans="11:12" x14ac:dyDescent="0.3">
      <c r="K1080" t="s">
        <v>15</v>
      </c>
      <c r="L1080">
        <v>65000</v>
      </c>
    </row>
    <row r="1081" spans="11:12" x14ac:dyDescent="0.3">
      <c r="K1081" t="s">
        <v>15</v>
      </c>
      <c r="L1081">
        <v>65000</v>
      </c>
    </row>
    <row r="1082" spans="11:12" x14ac:dyDescent="0.3">
      <c r="K1082" t="s">
        <v>15</v>
      </c>
      <c r="L1082">
        <v>65000</v>
      </c>
    </row>
    <row r="1083" spans="11:12" x14ac:dyDescent="0.3">
      <c r="K1083" t="s">
        <v>15</v>
      </c>
      <c r="L1083">
        <v>65000</v>
      </c>
    </row>
    <row r="1084" spans="11:12" x14ac:dyDescent="0.3">
      <c r="K1084" t="s">
        <v>15</v>
      </c>
      <c r="L1084">
        <v>65000</v>
      </c>
    </row>
    <row r="1085" spans="11:12" x14ac:dyDescent="0.3">
      <c r="K1085" t="s">
        <v>15</v>
      </c>
      <c r="L1085">
        <v>65000</v>
      </c>
    </row>
    <row r="1086" spans="11:12" x14ac:dyDescent="0.3">
      <c r="K1086" t="s">
        <v>15</v>
      </c>
      <c r="L1086">
        <v>65000</v>
      </c>
    </row>
    <row r="1087" spans="11:12" x14ac:dyDescent="0.3">
      <c r="K1087" t="s">
        <v>15</v>
      </c>
      <c r="L1087">
        <v>65000</v>
      </c>
    </row>
    <row r="1088" spans="11:12" x14ac:dyDescent="0.3">
      <c r="K1088" t="s">
        <v>15</v>
      </c>
      <c r="L1088">
        <v>64000</v>
      </c>
    </row>
    <row r="1089" spans="11:12" x14ac:dyDescent="0.3">
      <c r="K1089" t="s">
        <v>15</v>
      </c>
      <c r="L1089">
        <v>64000</v>
      </c>
    </row>
    <row r="1090" spans="11:12" x14ac:dyDescent="0.3">
      <c r="K1090" t="s">
        <v>15</v>
      </c>
      <c r="L1090">
        <v>64000</v>
      </c>
    </row>
    <row r="1091" spans="11:12" x14ac:dyDescent="0.3">
      <c r="K1091" t="s">
        <v>15</v>
      </c>
      <c r="L1091">
        <v>63700</v>
      </c>
    </row>
    <row r="1092" spans="11:12" x14ac:dyDescent="0.3">
      <c r="K1092" t="s">
        <v>15</v>
      </c>
      <c r="L1092">
        <v>63000</v>
      </c>
    </row>
    <row r="1093" spans="11:12" x14ac:dyDescent="0.3">
      <c r="K1093" t="s">
        <v>15</v>
      </c>
      <c r="L1093">
        <v>63000</v>
      </c>
    </row>
    <row r="1094" spans="11:12" x14ac:dyDescent="0.3">
      <c r="K1094" t="s">
        <v>15</v>
      </c>
      <c r="L1094">
        <v>63000</v>
      </c>
    </row>
    <row r="1095" spans="11:12" x14ac:dyDescent="0.3">
      <c r="K1095" t="s">
        <v>15</v>
      </c>
      <c r="L1095">
        <v>63000</v>
      </c>
    </row>
    <row r="1096" spans="11:12" x14ac:dyDescent="0.3">
      <c r="K1096" t="s">
        <v>15</v>
      </c>
      <c r="L1096">
        <v>63000</v>
      </c>
    </row>
    <row r="1097" spans="11:12" x14ac:dyDescent="0.3">
      <c r="K1097" t="s">
        <v>15</v>
      </c>
      <c r="L1097">
        <v>63000</v>
      </c>
    </row>
    <row r="1098" spans="11:12" x14ac:dyDescent="0.3">
      <c r="K1098" t="s">
        <v>15</v>
      </c>
      <c r="L1098">
        <v>63000</v>
      </c>
    </row>
    <row r="1099" spans="11:12" x14ac:dyDescent="0.3">
      <c r="K1099" t="s">
        <v>15</v>
      </c>
      <c r="L1099">
        <v>62400</v>
      </c>
    </row>
    <row r="1100" spans="11:12" x14ac:dyDescent="0.3">
      <c r="K1100" t="s">
        <v>15</v>
      </c>
      <c r="L1100">
        <v>62000</v>
      </c>
    </row>
    <row r="1101" spans="11:12" x14ac:dyDescent="0.3">
      <c r="K1101" t="s">
        <v>15</v>
      </c>
      <c r="L1101">
        <v>62000</v>
      </c>
    </row>
    <row r="1102" spans="11:12" x14ac:dyDescent="0.3">
      <c r="K1102" t="s">
        <v>15</v>
      </c>
      <c r="L1102">
        <v>62000</v>
      </c>
    </row>
    <row r="1103" spans="11:12" x14ac:dyDescent="0.3">
      <c r="K1103" t="s">
        <v>15</v>
      </c>
      <c r="L1103">
        <v>62000</v>
      </c>
    </row>
    <row r="1104" spans="11:12" x14ac:dyDescent="0.3">
      <c r="K1104" t="s">
        <v>15</v>
      </c>
      <c r="L1104">
        <v>61500</v>
      </c>
    </row>
    <row r="1105" spans="11:12" x14ac:dyDescent="0.3">
      <c r="K1105" t="s">
        <v>15</v>
      </c>
      <c r="L1105">
        <v>61000</v>
      </c>
    </row>
    <row r="1106" spans="11:12" x14ac:dyDescent="0.3">
      <c r="K1106" t="s">
        <v>15</v>
      </c>
      <c r="L1106">
        <v>60000</v>
      </c>
    </row>
    <row r="1107" spans="11:12" x14ac:dyDescent="0.3">
      <c r="K1107" t="s">
        <v>15</v>
      </c>
      <c r="L1107">
        <v>60000</v>
      </c>
    </row>
    <row r="1108" spans="11:12" x14ac:dyDescent="0.3">
      <c r="K1108" t="s">
        <v>15</v>
      </c>
      <c r="L1108">
        <v>60000</v>
      </c>
    </row>
    <row r="1109" spans="11:12" x14ac:dyDescent="0.3">
      <c r="K1109" t="s">
        <v>15</v>
      </c>
      <c r="L1109">
        <v>60000</v>
      </c>
    </row>
    <row r="1110" spans="11:12" x14ac:dyDescent="0.3">
      <c r="K1110" t="s">
        <v>15</v>
      </c>
      <c r="L1110">
        <v>60000</v>
      </c>
    </row>
    <row r="1111" spans="11:12" x14ac:dyDescent="0.3">
      <c r="K1111" t="s">
        <v>15</v>
      </c>
      <c r="L1111">
        <v>60000</v>
      </c>
    </row>
    <row r="1112" spans="11:12" x14ac:dyDescent="0.3">
      <c r="K1112" t="s">
        <v>15</v>
      </c>
      <c r="L1112">
        <v>60000</v>
      </c>
    </row>
    <row r="1113" spans="11:12" x14ac:dyDescent="0.3">
      <c r="K1113" t="s">
        <v>15</v>
      </c>
      <c r="L1113">
        <v>60000</v>
      </c>
    </row>
    <row r="1114" spans="11:12" x14ac:dyDescent="0.3">
      <c r="K1114" t="s">
        <v>15</v>
      </c>
      <c r="L1114">
        <v>60000</v>
      </c>
    </row>
    <row r="1115" spans="11:12" x14ac:dyDescent="0.3">
      <c r="K1115" t="s">
        <v>15</v>
      </c>
      <c r="L1115">
        <v>60000</v>
      </c>
    </row>
    <row r="1116" spans="11:12" x14ac:dyDescent="0.3">
      <c r="K1116" t="s">
        <v>15</v>
      </c>
      <c r="L1116">
        <v>60000</v>
      </c>
    </row>
    <row r="1117" spans="11:12" x14ac:dyDescent="0.3">
      <c r="K1117" t="s">
        <v>15</v>
      </c>
      <c r="L1117">
        <v>60000</v>
      </c>
    </row>
    <row r="1118" spans="11:12" x14ac:dyDescent="0.3">
      <c r="K1118" t="s">
        <v>15</v>
      </c>
      <c r="L1118">
        <v>60000</v>
      </c>
    </row>
    <row r="1119" spans="11:12" x14ac:dyDescent="0.3">
      <c r="K1119" t="s">
        <v>15</v>
      </c>
      <c r="L1119">
        <v>60000</v>
      </c>
    </row>
    <row r="1120" spans="11:12" x14ac:dyDescent="0.3">
      <c r="K1120" t="s">
        <v>15</v>
      </c>
      <c r="L1120">
        <v>60000</v>
      </c>
    </row>
    <row r="1121" spans="11:12" x14ac:dyDescent="0.3">
      <c r="K1121" t="s">
        <v>15</v>
      </c>
      <c r="L1121">
        <v>60000</v>
      </c>
    </row>
    <row r="1122" spans="11:12" x14ac:dyDescent="0.3">
      <c r="K1122" t="s">
        <v>15</v>
      </c>
      <c r="L1122">
        <v>60000</v>
      </c>
    </row>
    <row r="1123" spans="11:12" x14ac:dyDescent="0.3">
      <c r="K1123" t="s">
        <v>15</v>
      </c>
      <c r="L1123">
        <v>60000</v>
      </c>
    </row>
    <row r="1124" spans="11:12" x14ac:dyDescent="0.3">
      <c r="K1124" t="s">
        <v>15</v>
      </c>
      <c r="L1124">
        <v>60000</v>
      </c>
    </row>
    <row r="1125" spans="11:12" x14ac:dyDescent="0.3">
      <c r="K1125" t="s">
        <v>15</v>
      </c>
      <c r="L1125">
        <v>60000</v>
      </c>
    </row>
    <row r="1126" spans="11:12" x14ac:dyDescent="0.3">
      <c r="K1126" t="s">
        <v>15</v>
      </c>
      <c r="L1126">
        <v>60000</v>
      </c>
    </row>
    <row r="1127" spans="11:12" x14ac:dyDescent="0.3">
      <c r="K1127" t="s">
        <v>15</v>
      </c>
      <c r="L1127">
        <v>60000</v>
      </c>
    </row>
    <row r="1128" spans="11:12" x14ac:dyDescent="0.3">
      <c r="K1128" t="s">
        <v>15</v>
      </c>
      <c r="L1128">
        <v>60000</v>
      </c>
    </row>
    <row r="1129" spans="11:12" x14ac:dyDescent="0.3">
      <c r="K1129" t="s">
        <v>15</v>
      </c>
      <c r="L1129">
        <v>60000</v>
      </c>
    </row>
    <row r="1130" spans="11:12" x14ac:dyDescent="0.3">
      <c r="K1130" t="s">
        <v>15</v>
      </c>
      <c r="L1130">
        <v>59064</v>
      </c>
    </row>
    <row r="1131" spans="11:12" x14ac:dyDescent="0.3">
      <c r="K1131" t="s">
        <v>15</v>
      </c>
      <c r="L1131">
        <v>59000</v>
      </c>
    </row>
    <row r="1132" spans="11:12" x14ac:dyDescent="0.3">
      <c r="K1132" t="s">
        <v>15</v>
      </c>
      <c r="L1132">
        <v>58000</v>
      </c>
    </row>
    <row r="1133" spans="11:12" x14ac:dyDescent="0.3">
      <c r="K1133" t="s">
        <v>15</v>
      </c>
      <c r="L1133">
        <v>58000</v>
      </c>
    </row>
    <row r="1134" spans="11:12" x14ac:dyDescent="0.3">
      <c r="K1134" t="s">
        <v>15</v>
      </c>
      <c r="L1134">
        <v>58000</v>
      </c>
    </row>
    <row r="1135" spans="11:12" x14ac:dyDescent="0.3">
      <c r="K1135" t="s">
        <v>15</v>
      </c>
      <c r="L1135">
        <v>58000</v>
      </c>
    </row>
    <row r="1136" spans="11:12" x14ac:dyDescent="0.3">
      <c r="K1136" t="s">
        <v>15</v>
      </c>
      <c r="L1136">
        <v>58000</v>
      </c>
    </row>
    <row r="1137" spans="11:12" x14ac:dyDescent="0.3">
      <c r="K1137" t="s">
        <v>15</v>
      </c>
      <c r="L1137">
        <v>58000</v>
      </c>
    </row>
    <row r="1138" spans="11:12" x14ac:dyDescent="0.3">
      <c r="K1138" t="s">
        <v>15</v>
      </c>
      <c r="L1138">
        <v>57000</v>
      </c>
    </row>
    <row r="1139" spans="11:12" x14ac:dyDescent="0.3">
      <c r="K1139" t="s">
        <v>15</v>
      </c>
      <c r="L1139">
        <v>57000</v>
      </c>
    </row>
    <row r="1140" spans="11:12" x14ac:dyDescent="0.3">
      <c r="K1140" t="s">
        <v>15</v>
      </c>
      <c r="L1140">
        <v>57000</v>
      </c>
    </row>
    <row r="1141" spans="11:12" x14ac:dyDescent="0.3">
      <c r="K1141" t="s">
        <v>15</v>
      </c>
      <c r="L1141">
        <v>57000</v>
      </c>
    </row>
    <row r="1142" spans="11:12" x14ac:dyDescent="0.3">
      <c r="K1142" t="s">
        <v>15</v>
      </c>
      <c r="L1142">
        <v>57000</v>
      </c>
    </row>
    <row r="1143" spans="11:12" x14ac:dyDescent="0.3">
      <c r="K1143" t="s">
        <v>15</v>
      </c>
      <c r="L1143">
        <v>56400</v>
      </c>
    </row>
    <row r="1144" spans="11:12" x14ac:dyDescent="0.3">
      <c r="K1144" t="s">
        <v>15</v>
      </c>
      <c r="L1144">
        <v>56000</v>
      </c>
    </row>
    <row r="1145" spans="11:12" x14ac:dyDescent="0.3">
      <c r="K1145" t="s">
        <v>15</v>
      </c>
      <c r="L1145">
        <v>56000</v>
      </c>
    </row>
    <row r="1146" spans="11:12" x14ac:dyDescent="0.3">
      <c r="K1146" t="s">
        <v>15</v>
      </c>
      <c r="L1146">
        <v>56000</v>
      </c>
    </row>
    <row r="1147" spans="11:12" x14ac:dyDescent="0.3">
      <c r="K1147" t="s">
        <v>15</v>
      </c>
      <c r="L1147">
        <v>56000</v>
      </c>
    </row>
    <row r="1148" spans="11:12" x14ac:dyDescent="0.3">
      <c r="K1148" t="s">
        <v>15</v>
      </c>
      <c r="L1148">
        <v>55200</v>
      </c>
    </row>
    <row r="1149" spans="11:12" x14ac:dyDescent="0.3">
      <c r="K1149" t="s">
        <v>15</v>
      </c>
      <c r="L1149">
        <v>55000</v>
      </c>
    </row>
    <row r="1150" spans="11:12" x14ac:dyDescent="0.3">
      <c r="K1150" t="s">
        <v>15</v>
      </c>
      <c r="L1150">
        <v>55000</v>
      </c>
    </row>
    <row r="1151" spans="11:12" x14ac:dyDescent="0.3">
      <c r="K1151" t="s">
        <v>15</v>
      </c>
      <c r="L1151">
        <v>55000</v>
      </c>
    </row>
    <row r="1152" spans="11:12" x14ac:dyDescent="0.3">
      <c r="K1152" t="s">
        <v>15</v>
      </c>
      <c r="L1152">
        <v>55000</v>
      </c>
    </row>
    <row r="1153" spans="11:12" x14ac:dyDescent="0.3">
      <c r="K1153" t="s">
        <v>15</v>
      </c>
      <c r="L1153">
        <v>55000</v>
      </c>
    </row>
    <row r="1154" spans="11:12" x14ac:dyDescent="0.3">
      <c r="K1154" t="s">
        <v>15</v>
      </c>
      <c r="L1154">
        <v>55000</v>
      </c>
    </row>
    <row r="1155" spans="11:12" x14ac:dyDescent="0.3">
      <c r="K1155" t="s">
        <v>15</v>
      </c>
      <c r="L1155">
        <v>55000</v>
      </c>
    </row>
    <row r="1156" spans="11:12" x14ac:dyDescent="0.3">
      <c r="K1156" t="s">
        <v>15</v>
      </c>
      <c r="L1156">
        <v>55000</v>
      </c>
    </row>
    <row r="1157" spans="11:12" x14ac:dyDescent="0.3">
      <c r="K1157" t="s">
        <v>15</v>
      </c>
      <c r="L1157">
        <v>55000</v>
      </c>
    </row>
    <row r="1158" spans="11:12" x14ac:dyDescent="0.3">
      <c r="K1158" t="s">
        <v>15</v>
      </c>
      <c r="L1158">
        <v>55000</v>
      </c>
    </row>
    <row r="1159" spans="11:12" x14ac:dyDescent="0.3">
      <c r="K1159" t="s">
        <v>15</v>
      </c>
      <c r="L1159">
        <v>55000</v>
      </c>
    </row>
    <row r="1160" spans="11:12" x14ac:dyDescent="0.3">
      <c r="K1160" t="s">
        <v>15</v>
      </c>
      <c r="L1160">
        <v>54000</v>
      </c>
    </row>
    <row r="1161" spans="11:12" x14ac:dyDescent="0.3">
      <c r="K1161" t="s">
        <v>15</v>
      </c>
      <c r="L1161">
        <v>54000</v>
      </c>
    </row>
    <row r="1162" spans="11:12" x14ac:dyDescent="0.3">
      <c r="K1162" t="s">
        <v>15</v>
      </c>
      <c r="L1162">
        <v>54000</v>
      </c>
    </row>
    <row r="1163" spans="11:12" x14ac:dyDescent="0.3">
      <c r="K1163" t="s">
        <v>15</v>
      </c>
      <c r="L1163">
        <v>54000</v>
      </c>
    </row>
    <row r="1164" spans="11:12" x14ac:dyDescent="0.3">
      <c r="K1164" t="s">
        <v>15</v>
      </c>
      <c r="L1164">
        <v>53000</v>
      </c>
    </row>
    <row r="1165" spans="11:12" x14ac:dyDescent="0.3">
      <c r="K1165" t="s">
        <v>15</v>
      </c>
      <c r="L1165">
        <v>53000</v>
      </c>
    </row>
    <row r="1166" spans="11:12" x14ac:dyDescent="0.3">
      <c r="K1166" t="s">
        <v>15</v>
      </c>
      <c r="L1166">
        <v>53000</v>
      </c>
    </row>
    <row r="1167" spans="11:12" x14ac:dyDescent="0.3">
      <c r="K1167" t="s">
        <v>15</v>
      </c>
      <c r="L1167">
        <v>52800</v>
      </c>
    </row>
    <row r="1168" spans="11:12" x14ac:dyDescent="0.3">
      <c r="K1168" t="s">
        <v>15</v>
      </c>
      <c r="L1168">
        <v>52000</v>
      </c>
    </row>
    <row r="1169" spans="11:12" x14ac:dyDescent="0.3">
      <c r="K1169" t="s">
        <v>15</v>
      </c>
      <c r="L1169">
        <v>52000</v>
      </c>
    </row>
    <row r="1170" spans="11:12" x14ac:dyDescent="0.3">
      <c r="K1170" t="s">
        <v>15</v>
      </c>
      <c r="L1170">
        <v>52000</v>
      </c>
    </row>
    <row r="1171" spans="11:12" x14ac:dyDescent="0.3">
      <c r="K1171" t="s">
        <v>15</v>
      </c>
      <c r="L1171">
        <v>50400</v>
      </c>
    </row>
    <row r="1172" spans="11:12" x14ac:dyDescent="0.3">
      <c r="K1172" t="s">
        <v>15</v>
      </c>
      <c r="L1172">
        <v>50000</v>
      </c>
    </row>
    <row r="1173" spans="11:12" x14ac:dyDescent="0.3">
      <c r="K1173" t="s">
        <v>15</v>
      </c>
      <c r="L1173">
        <v>50000</v>
      </c>
    </row>
    <row r="1174" spans="11:12" x14ac:dyDescent="0.3">
      <c r="K1174" t="s">
        <v>15</v>
      </c>
      <c r="L1174">
        <v>50000</v>
      </c>
    </row>
    <row r="1175" spans="11:12" x14ac:dyDescent="0.3">
      <c r="K1175" t="s">
        <v>15</v>
      </c>
      <c r="L1175">
        <v>50000</v>
      </c>
    </row>
    <row r="1176" spans="11:12" x14ac:dyDescent="0.3">
      <c r="K1176" t="s">
        <v>15</v>
      </c>
      <c r="L1176">
        <v>50000</v>
      </c>
    </row>
    <row r="1177" spans="11:12" x14ac:dyDescent="0.3">
      <c r="K1177" t="s">
        <v>15</v>
      </c>
      <c r="L1177">
        <v>50000</v>
      </c>
    </row>
    <row r="1178" spans="11:12" x14ac:dyDescent="0.3">
      <c r="K1178" t="s">
        <v>15</v>
      </c>
      <c r="L1178">
        <v>50000</v>
      </c>
    </row>
    <row r="1179" spans="11:12" x14ac:dyDescent="0.3">
      <c r="K1179" t="s">
        <v>15</v>
      </c>
      <c r="L1179">
        <v>49000</v>
      </c>
    </row>
    <row r="1180" spans="11:12" x14ac:dyDescent="0.3">
      <c r="K1180" t="s">
        <v>15</v>
      </c>
      <c r="L1180">
        <v>49000</v>
      </c>
    </row>
    <row r="1181" spans="11:12" x14ac:dyDescent="0.3">
      <c r="K1181" t="s">
        <v>15</v>
      </c>
      <c r="L1181">
        <v>48000</v>
      </c>
    </row>
    <row r="1182" spans="11:12" x14ac:dyDescent="0.3">
      <c r="K1182" t="s">
        <v>15</v>
      </c>
      <c r="L1182">
        <v>48000</v>
      </c>
    </row>
    <row r="1183" spans="11:12" x14ac:dyDescent="0.3">
      <c r="K1183" t="s">
        <v>15</v>
      </c>
      <c r="L1183">
        <v>48000</v>
      </c>
    </row>
    <row r="1184" spans="11:12" x14ac:dyDescent="0.3">
      <c r="K1184" t="s">
        <v>15</v>
      </c>
      <c r="L1184">
        <v>48000</v>
      </c>
    </row>
    <row r="1185" spans="11:12" x14ac:dyDescent="0.3">
      <c r="K1185" t="s">
        <v>15</v>
      </c>
      <c r="L1185">
        <v>47500</v>
      </c>
    </row>
    <row r="1186" spans="11:12" x14ac:dyDescent="0.3">
      <c r="K1186" t="s">
        <v>15</v>
      </c>
      <c r="L1186">
        <v>46000</v>
      </c>
    </row>
    <row r="1187" spans="11:12" x14ac:dyDescent="0.3">
      <c r="K1187" t="s">
        <v>15</v>
      </c>
      <c r="L1187">
        <v>46000</v>
      </c>
    </row>
    <row r="1188" spans="11:12" x14ac:dyDescent="0.3">
      <c r="K1188" t="s">
        <v>15</v>
      </c>
      <c r="L1188">
        <v>45000</v>
      </c>
    </row>
    <row r="1189" spans="11:12" x14ac:dyDescent="0.3">
      <c r="K1189" t="s">
        <v>15</v>
      </c>
      <c r="L1189">
        <v>45000</v>
      </c>
    </row>
    <row r="1190" spans="11:12" x14ac:dyDescent="0.3">
      <c r="K1190" t="s">
        <v>15</v>
      </c>
      <c r="L1190">
        <v>45000</v>
      </c>
    </row>
    <row r="1191" spans="11:12" x14ac:dyDescent="0.3">
      <c r="K1191" t="s">
        <v>15</v>
      </c>
      <c r="L1191">
        <v>43500</v>
      </c>
    </row>
    <row r="1192" spans="11:12" x14ac:dyDescent="0.3">
      <c r="K1192" t="s">
        <v>15</v>
      </c>
      <c r="L1192">
        <v>42000</v>
      </c>
    </row>
    <row r="1193" spans="11:12" x14ac:dyDescent="0.3">
      <c r="K1193" t="s">
        <v>15</v>
      </c>
      <c r="L1193">
        <v>42000</v>
      </c>
    </row>
    <row r="1194" spans="11:12" x14ac:dyDescent="0.3">
      <c r="K1194" t="s">
        <v>15</v>
      </c>
      <c r="L1194">
        <v>42000</v>
      </c>
    </row>
    <row r="1195" spans="11:12" x14ac:dyDescent="0.3">
      <c r="K1195" t="s">
        <v>15</v>
      </c>
      <c r="L1195">
        <v>36000</v>
      </c>
    </row>
    <row r="1196" spans="11:12" x14ac:dyDescent="0.3">
      <c r="K1196" t="s">
        <v>15</v>
      </c>
      <c r="L1196">
        <v>36000</v>
      </c>
    </row>
    <row r="1197" spans="11:12" x14ac:dyDescent="0.3">
      <c r="K1197" t="s">
        <v>15</v>
      </c>
      <c r="L1197">
        <v>34000</v>
      </c>
    </row>
    <row r="1198" spans="11:12" x14ac:dyDescent="0.3">
      <c r="K1198" t="s">
        <v>15</v>
      </c>
      <c r="L1198">
        <v>30000</v>
      </c>
    </row>
    <row r="1199" spans="11:12" x14ac:dyDescent="0.3">
      <c r="K1199" t="s">
        <v>15</v>
      </c>
      <c r="L1199">
        <v>30000</v>
      </c>
    </row>
    <row r="1200" spans="11:12" x14ac:dyDescent="0.3">
      <c r="K1200" t="s">
        <v>15</v>
      </c>
      <c r="L1200">
        <v>29000</v>
      </c>
    </row>
    <row r="1201" spans="11:12" x14ac:dyDescent="0.3">
      <c r="K1201" t="s">
        <v>15</v>
      </c>
      <c r="L1201">
        <v>28800</v>
      </c>
    </row>
    <row r="1202" spans="11:12" x14ac:dyDescent="0.3">
      <c r="K1202" t="s">
        <v>15</v>
      </c>
      <c r="L1202">
        <v>26400</v>
      </c>
    </row>
    <row r="1203" spans="11:12" x14ac:dyDescent="0.3">
      <c r="K1203" t="s">
        <v>15</v>
      </c>
      <c r="L1203">
        <v>24000</v>
      </c>
    </row>
    <row r="1204" spans="11:12" x14ac:dyDescent="0.3">
      <c r="K1204" t="s">
        <v>15</v>
      </c>
      <c r="L1204">
        <v>21120</v>
      </c>
    </row>
    <row r="1205" spans="11:12" x14ac:dyDescent="0.3">
      <c r="K1205" t="s">
        <v>15</v>
      </c>
      <c r="L1205">
        <v>21000</v>
      </c>
    </row>
    <row r="1206" spans="11:12" x14ac:dyDescent="0.3">
      <c r="K1206" t="s">
        <v>15</v>
      </c>
      <c r="L1206">
        <v>16320</v>
      </c>
    </row>
    <row r="1207" spans="11:12" x14ac:dyDescent="0.3">
      <c r="K1207" t="s">
        <v>15</v>
      </c>
      <c r="L1207">
        <v>14712</v>
      </c>
    </row>
    <row r="1208" spans="11:12" x14ac:dyDescent="0.3">
      <c r="K1208" t="s">
        <v>360</v>
      </c>
      <c r="L1208">
        <v>150000</v>
      </c>
    </row>
    <row r="1209" spans="11:12" x14ac:dyDescent="0.3">
      <c r="K1209" t="s">
        <v>213</v>
      </c>
      <c r="L1209">
        <v>47500</v>
      </c>
    </row>
    <row r="1210" spans="11:12" x14ac:dyDescent="0.3">
      <c r="K1210" t="s">
        <v>83</v>
      </c>
      <c r="L1210">
        <v>85000</v>
      </c>
    </row>
    <row r="1211" spans="11:12" x14ac:dyDescent="0.3">
      <c r="K1211" t="s">
        <v>113</v>
      </c>
      <c r="L1211">
        <v>105000</v>
      </c>
    </row>
    <row r="1212" spans="11:12" x14ac:dyDescent="0.3">
      <c r="K1212" t="s">
        <v>113</v>
      </c>
      <c r="L1212">
        <v>100000</v>
      </c>
    </row>
    <row r="1213" spans="11:12" x14ac:dyDescent="0.3">
      <c r="K1213" t="s">
        <v>138</v>
      </c>
      <c r="L1213">
        <v>95000</v>
      </c>
    </row>
    <row r="1214" spans="11:12" x14ac:dyDescent="0.3">
      <c r="K1214" t="s">
        <v>173</v>
      </c>
      <c r="L1214">
        <v>79000</v>
      </c>
    </row>
    <row r="1215" spans="11:12" x14ac:dyDescent="0.3">
      <c r="K1215" t="s">
        <v>173</v>
      </c>
      <c r="L1215">
        <v>75000</v>
      </c>
    </row>
    <row r="1216" spans="11:12" x14ac:dyDescent="0.3">
      <c r="K1216" t="s">
        <v>173</v>
      </c>
      <c r="L1216">
        <v>68000</v>
      </c>
    </row>
    <row r="1217" spans="11:12" x14ac:dyDescent="0.3">
      <c r="K1217" t="s">
        <v>173</v>
      </c>
      <c r="L1217">
        <v>66000</v>
      </c>
    </row>
    <row r="1218" spans="11:12" x14ac:dyDescent="0.3">
      <c r="K1218" t="s">
        <v>380</v>
      </c>
      <c r="L1218">
        <v>85000</v>
      </c>
    </row>
    <row r="1219" spans="11:12" x14ac:dyDescent="0.3">
      <c r="K1219" t="s">
        <v>353</v>
      </c>
      <c r="L1219">
        <v>54179.13</v>
      </c>
    </row>
    <row r="1220" spans="11:12" x14ac:dyDescent="0.3">
      <c r="K1220" t="s">
        <v>59</v>
      </c>
      <c r="L1220">
        <v>52000</v>
      </c>
    </row>
    <row r="1221" spans="11:12" x14ac:dyDescent="0.3">
      <c r="K1221" t="s">
        <v>151</v>
      </c>
      <c r="L1221">
        <v>63500</v>
      </c>
    </row>
    <row r="1222" spans="11:12" x14ac:dyDescent="0.3">
      <c r="K1222" t="s">
        <v>151</v>
      </c>
      <c r="L1222">
        <v>61000</v>
      </c>
    </row>
    <row r="1223" spans="11:12" x14ac:dyDescent="0.3">
      <c r="K1223" t="s">
        <v>324</v>
      </c>
      <c r="L1223">
        <v>45000</v>
      </c>
    </row>
    <row r="1224" spans="11:12" x14ac:dyDescent="0.3">
      <c r="K1224" t="s">
        <v>171</v>
      </c>
      <c r="L1224">
        <v>73000</v>
      </c>
    </row>
    <row r="1225" spans="11:12" x14ac:dyDescent="0.3">
      <c r="K1225" t="s">
        <v>92</v>
      </c>
      <c r="L1225">
        <v>44000</v>
      </c>
    </row>
    <row r="1226" spans="11:12" x14ac:dyDescent="0.3">
      <c r="K1226" t="s">
        <v>168</v>
      </c>
      <c r="L1226">
        <v>44000</v>
      </c>
    </row>
    <row r="1227" spans="11:12" x14ac:dyDescent="0.3">
      <c r="K1227" t="s">
        <v>45</v>
      </c>
      <c r="L1227">
        <v>90000</v>
      </c>
    </row>
    <row r="1228" spans="11:12" x14ac:dyDescent="0.3">
      <c r="K1228" t="s">
        <v>374</v>
      </c>
      <c r="L1228">
        <v>85000</v>
      </c>
    </row>
    <row r="1229" spans="11:12" x14ac:dyDescent="0.3">
      <c r="K1229" t="s">
        <v>45</v>
      </c>
      <c r="L1229">
        <v>80000</v>
      </c>
    </row>
    <row r="1230" spans="11:12" x14ac:dyDescent="0.3">
      <c r="K1230" t="s">
        <v>45</v>
      </c>
      <c r="L1230">
        <v>70200</v>
      </c>
    </row>
    <row r="1231" spans="11:12" x14ac:dyDescent="0.3">
      <c r="K1231" t="s">
        <v>259</v>
      </c>
      <c r="L1231">
        <v>85000</v>
      </c>
    </row>
    <row r="1232" spans="11:12" x14ac:dyDescent="0.3">
      <c r="K1232" t="s">
        <v>291</v>
      </c>
      <c r="L1232">
        <v>75000</v>
      </c>
    </row>
    <row r="1233" spans="11:12" x14ac:dyDescent="0.3">
      <c r="K1233" t="s">
        <v>126</v>
      </c>
      <c r="L1233">
        <v>99000</v>
      </c>
    </row>
    <row r="1234" spans="11:12" x14ac:dyDescent="0.3">
      <c r="K1234" t="s">
        <v>200</v>
      </c>
      <c r="L1234">
        <v>90000</v>
      </c>
    </row>
    <row r="1235" spans="11:12" x14ac:dyDescent="0.3">
      <c r="K1235" t="s">
        <v>239</v>
      </c>
      <c r="L1235">
        <v>130000</v>
      </c>
    </row>
    <row r="1236" spans="11:12" x14ac:dyDescent="0.3">
      <c r="K1236" t="s">
        <v>308</v>
      </c>
      <c r="L1236">
        <v>40000</v>
      </c>
    </row>
    <row r="1237" spans="11:12" x14ac:dyDescent="0.3">
      <c r="K1237" t="s">
        <v>234</v>
      </c>
      <c r="L1237">
        <v>57000</v>
      </c>
    </row>
    <row r="1238" spans="11:12" x14ac:dyDescent="0.3">
      <c r="K1238" t="s">
        <v>506</v>
      </c>
      <c r="L1238">
        <v>69000</v>
      </c>
    </row>
    <row r="1239" spans="11:12" x14ac:dyDescent="0.3">
      <c r="K1239" t="s">
        <v>194</v>
      </c>
      <c r="L1239">
        <v>85000</v>
      </c>
    </row>
    <row r="1240" spans="11:12" x14ac:dyDescent="0.3">
      <c r="K1240" t="s">
        <v>322</v>
      </c>
      <c r="L1240">
        <v>65000</v>
      </c>
    </row>
    <row r="1241" spans="11:12" x14ac:dyDescent="0.3">
      <c r="K1241" t="s">
        <v>48</v>
      </c>
      <c r="L1241">
        <v>47400</v>
      </c>
    </row>
    <row r="1242" spans="11:12" x14ac:dyDescent="0.3">
      <c r="K1242" t="s">
        <v>159</v>
      </c>
      <c r="L1242">
        <v>60000</v>
      </c>
    </row>
    <row r="1243" spans="11:12" x14ac:dyDescent="0.3">
      <c r="K1243" t="s">
        <v>407</v>
      </c>
      <c r="L1243">
        <v>60000</v>
      </c>
    </row>
    <row r="1244" spans="11:12" x14ac:dyDescent="0.3">
      <c r="K1244" t="s">
        <v>100</v>
      </c>
      <c r="L1244">
        <v>100000</v>
      </c>
    </row>
    <row r="1245" spans="11:12" x14ac:dyDescent="0.3">
      <c r="K1245" t="s">
        <v>507</v>
      </c>
      <c r="L1245">
        <v>12000</v>
      </c>
    </row>
    <row r="1246" spans="11:12" x14ac:dyDescent="0.3">
      <c r="K1246" t="s">
        <v>349</v>
      </c>
      <c r="L1246">
        <v>25000</v>
      </c>
    </row>
  </sheetData>
  <mergeCells count="3">
    <mergeCell ref="N2:T2"/>
    <mergeCell ref="A1:H1"/>
    <mergeCell ref="B8:G9"/>
  </mergeCells>
  <pageMargins left="0.511811024" right="0.511811024" top="0.78740157499999996" bottom="0.78740157499999996" header="0.31496062000000002" footer="0.31496062000000002"/>
  <drawing r:id="rId1"/>
  <tableParts count="2">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0093-04BB-4736-AAFF-AC7B80675E58}">
  <dimension ref="A1:P1235"/>
  <sheetViews>
    <sheetView showGridLines="0" topLeftCell="A16" workbookViewId="0">
      <selection activeCell="L5" sqref="L5"/>
    </sheetView>
  </sheetViews>
  <sheetFormatPr defaultRowHeight="14.4" x14ac:dyDescent="0.3"/>
  <cols>
    <col min="2" max="2" width="25.88671875" customWidth="1"/>
    <col min="15" max="15" width="23.77734375" customWidth="1"/>
    <col min="16" max="16" width="19.109375" customWidth="1"/>
  </cols>
  <sheetData>
    <row r="1" spans="1:16" x14ac:dyDescent="0.3">
      <c r="A1" s="150" t="s">
        <v>554</v>
      </c>
      <c r="B1" s="150"/>
      <c r="C1" s="150"/>
      <c r="D1" s="150"/>
      <c r="E1" s="150"/>
      <c r="F1" s="150"/>
      <c r="G1" s="150"/>
      <c r="H1" s="150"/>
      <c r="I1" s="150"/>
      <c r="J1" s="150"/>
      <c r="O1" s="117" t="s">
        <v>4</v>
      </c>
      <c r="P1" s="117" t="s">
        <v>555</v>
      </c>
    </row>
    <row r="2" spans="1:16" x14ac:dyDescent="0.3">
      <c r="O2" s="3">
        <v>0</v>
      </c>
      <c r="P2" s="3">
        <v>20000</v>
      </c>
    </row>
    <row r="3" spans="1:16" x14ac:dyDescent="0.3">
      <c r="O3" s="3">
        <v>0</v>
      </c>
      <c r="P3" s="3">
        <v>22000</v>
      </c>
    </row>
    <row r="4" spans="1:16" x14ac:dyDescent="0.3">
      <c r="O4" s="3">
        <v>0</v>
      </c>
      <c r="P4" s="3">
        <v>40000</v>
      </c>
    </row>
    <row r="5" spans="1:16" x14ac:dyDescent="0.3">
      <c r="O5" s="3">
        <v>0</v>
      </c>
      <c r="P5" s="3">
        <v>48000</v>
      </c>
    </row>
    <row r="6" spans="1:16" x14ac:dyDescent="0.3">
      <c r="B6" s="160" t="s">
        <v>556</v>
      </c>
      <c r="C6" s="161"/>
      <c r="D6" s="161"/>
      <c r="E6" s="161"/>
      <c r="F6" s="161"/>
      <c r="G6" s="161"/>
      <c r="H6" s="161"/>
      <c r="I6" s="161"/>
      <c r="J6" s="161"/>
      <c r="K6" s="161"/>
      <c r="L6" s="161"/>
      <c r="M6" s="162"/>
      <c r="O6" s="3">
        <v>0</v>
      </c>
      <c r="P6" s="3">
        <v>50000</v>
      </c>
    </row>
    <row r="7" spans="1:16" x14ac:dyDescent="0.3">
      <c r="B7" s="163"/>
      <c r="C7" s="164"/>
      <c r="D7" s="164"/>
      <c r="E7" s="164"/>
      <c r="F7" s="164"/>
      <c r="G7" s="164"/>
      <c r="H7" s="164"/>
      <c r="I7" s="164"/>
      <c r="J7" s="164"/>
      <c r="K7" s="164"/>
      <c r="L7" s="164"/>
      <c r="M7" s="165"/>
      <c r="O7" s="4">
        <v>0</v>
      </c>
      <c r="P7" s="4">
        <v>58000</v>
      </c>
    </row>
    <row r="8" spans="1:16" x14ac:dyDescent="0.3">
      <c r="B8" s="100"/>
      <c r="C8" s="119" t="s">
        <v>435</v>
      </c>
      <c r="D8" s="119" t="s">
        <v>436</v>
      </c>
      <c r="E8" s="119" t="s">
        <v>437</v>
      </c>
      <c r="F8" s="119" t="s">
        <v>438</v>
      </c>
      <c r="G8" s="119" t="s">
        <v>439</v>
      </c>
      <c r="H8" s="119" t="s">
        <v>440</v>
      </c>
      <c r="I8" s="119" t="s">
        <v>441</v>
      </c>
      <c r="J8" s="119" t="s">
        <v>442</v>
      </c>
      <c r="K8" s="119" t="s">
        <v>443</v>
      </c>
      <c r="L8" s="119" t="s">
        <v>444</v>
      </c>
      <c r="M8" s="120" t="s">
        <v>425</v>
      </c>
      <c r="N8" s="28"/>
      <c r="O8" s="4">
        <v>0.5</v>
      </c>
      <c r="P8" s="4">
        <v>16320</v>
      </c>
    </row>
    <row r="9" spans="1:16" x14ac:dyDescent="0.3">
      <c r="B9" s="118" t="s">
        <v>450</v>
      </c>
      <c r="C9" s="121">
        <f>COUNTIFS(Tabela7[Total years of experience],"&gt;=0",Tabela7[Total years of experience],"&lt;5",Tabela7[Yearly brutto salary],"&gt;=10000",Tabela7[Yearly brutto salary],"&lt;30000")</f>
        <v>25</v>
      </c>
      <c r="D9" s="98">
        <f>COUNTIFS(Tabela7[Total years of experience],"&gt;=5",Tabela7[Total years of experience],"&lt;10",Tabela7[Yearly brutto salary],"&gt;=10000",Tabela7[Yearly brutto salary],"&lt;30000")</f>
        <v>5</v>
      </c>
      <c r="E9" s="98">
        <f>COUNTIFS(Tabela7[Total years of experience],"&gt;=10",Tabela7[Total years of experience],"&lt;15",Tabela7[Yearly brutto salary],"&gt;=10000",Tabela7[Yearly brutto salary],"&lt;30000")</f>
        <v>1</v>
      </c>
      <c r="F9" s="98">
        <f>COUNTIFS(Tabela7[Total years of experience],"&gt;=15",Tabela7[Total years of experience],"&lt;20",Tabela7[Yearly brutto salary],"&gt;=10000",Tabela7[Yearly brutto salary],"&lt;30000")</f>
        <v>0</v>
      </c>
      <c r="G9" s="98">
        <f>COUNTIFS(Tabela7[Total years of experience],"&gt;=20",Tabela7[Total years of experience],"&lt;25",Tabela7[Yearly brutto salary],"&gt;=10000",Tabela7[Yearly brutto salary],"&lt;30000")</f>
        <v>0</v>
      </c>
      <c r="H9" s="98">
        <f>COUNTIFS(Tabela7[Total years of experience],"&gt;=25",Tabela7[Total years of experience],"&lt;30",Tabela7[Yearly brutto salary],"&gt;=10000",Tabela7[Yearly brutto salary],"&lt;30000")</f>
        <v>1</v>
      </c>
      <c r="I9" s="98">
        <f>COUNTIFS(Tabela7[Total years of experience],"&gt;=30",Tabela7[Total years of experience],"&lt;35",Tabela7[Yearly brutto salary],"&gt;=10000",Tabela7[Yearly brutto salary],"&lt;30000")</f>
        <v>0</v>
      </c>
      <c r="J9" s="98">
        <f>COUNTIFS(Tabela7[Total years of experience],"&gt;=35",Tabela7[Total years of experience],"&lt;40",Tabela7[Yearly brutto salary],"&gt;=10000",Tabela7[Yearly brutto salary],"&lt;30000")</f>
        <v>0</v>
      </c>
      <c r="K9" s="98">
        <f>COUNTIFS(Tabela7[Total years of experience],"&gt;=40",Tabela7[Total years of experience],"&lt;45",Tabela7[Yearly brutto salary],"&gt;=10000",Tabela7[Yearly brutto salary],"&lt;30000")</f>
        <v>0</v>
      </c>
      <c r="L9" s="98">
        <f>COUNTIFS(Tabela7[Total years of experience],"&gt;=45",Tabela7[Yearly brutto salary],"&gt;=10000",Tabela7[Yearly brutto salary],"&lt;30000")</f>
        <v>0</v>
      </c>
      <c r="M9" s="122">
        <f>SUM(C9:L9)</f>
        <v>32</v>
      </c>
      <c r="O9" s="3">
        <v>0.8</v>
      </c>
      <c r="P9" s="3">
        <v>11500</v>
      </c>
    </row>
    <row r="10" spans="1:16" x14ac:dyDescent="0.3">
      <c r="B10" s="68" t="s">
        <v>451</v>
      </c>
      <c r="C10" s="98">
        <f>COUNTIFS(Tabela7[Total years of experience],"&gt;=0",Tabela7[Total years of experience],"&lt;5",Tabela7[Yearly brutto salary],"&gt;=30000",Tabela7[Yearly brutto salary],"&lt;50000")</f>
        <v>66</v>
      </c>
      <c r="D10" s="98">
        <f>COUNTIFS(Tabela7[Total years of experience],"&gt;=5",Tabela7[Total years of experience],"&lt;10",Tabela7[Yearly brutto salary],"&gt;=30000",Tabela7[Yearly brutto salary],"&lt;50000")</f>
        <v>26</v>
      </c>
      <c r="E10" s="98">
        <f>COUNTIFS(Tabela7[Total years of experience],"&gt;=10",Tabela7[Total years of experience],"&lt;15",Tabela7[Yearly brutto salary],"&gt;=30000",Tabela7[Yearly brutto salary],"&lt;50000")</f>
        <v>13</v>
      </c>
      <c r="F10" s="98">
        <f>COUNTIFS(Tabela7[Total years of experience],"&gt;=15",Tabela7[Total years of experience],"&lt;20",Tabela7[Yearly brutto salary],"&gt;=30000",Tabela7[Yearly brutto salary],"&lt;50000")</f>
        <v>3</v>
      </c>
      <c r="G10" s="98">
        <f>COUNTIFS(Tabela7[Total years of experience],"&gt;=20",Tabela7[Total years of experience],"&lt;25",Tabela7[Yearly brutto salary],"&gt;=30000",Tabela7[Yearly brutto salary],"&lt;50000")</f>
        <v>3</v>
      </c>
      <c r="H10" s="98">
        <f>COUNTIFS(Tabela7[Total years of experience],"&gt;=25",Tabela7[Total years of experience],"&lt;30",Tabela7[Yearly brutto salary],"&gt;=30000",Tabela7[Yearly brutto salary],"&lt;50000")</f>
        <v>0</v>
      </c>
      <c r="I10" s="98">
        <f>COUNTIFS(Tabela7[Total years of experience],"&gt;=30",Tabela7[Total years of experience],"&lt;35",Tabela7[Yearly brutto salary],"&gt;=30000",Tabela7[Yearly brutto salary],"&lt;50000")</f>
        <v>0</v>
      </c>
      <c r="J10" s="98">
        <f>COUNTIFS(Tabela7[Total years of experience],"&gt;=35",Tabela7[Total years of experience],"&lt;40",Tabela7[Yearly brutto salary],"&gt;=30000",Tabela7[Yearly brutto salary],"&lt;50000")</f>
        <v>0</v>
      </c>
      <c r="K10" s="98">
        <f>COUNTIFS(Tabela7[Total years of experience],"&gt;=40",Tabela7[Total years of experience],"&lt;45",Tabela7[Yearly brutto salary],"&gt;=30000",Tabela7[Yearly brutto salary],"&lt;50000")</f>
        <v>0</v>
      </c>
      <c r="L10" s="98">
        <f>COUNTIFS(Tabela7[Total years of experience],"&gt;=45",Tabela7[Yearly brutto salary],"&gt;=30000",Tabela7[Yearly brutto salary],"&lt;50000")</f>
        <v>0</v>
      </c>
      <c r="M10" s="122">
        <f t="shared" ref="M10:M18" si="0">SUM(C10:L10)</f>
        <v>111</v>
      </c>
      <c r="O10" s="3">
        <v>0.8</v>
      </c>
      <c r="P10" s="3">
        <v>48000</v>
      </c>
    </row>
    <row r="11" spans="1:16" x14ac:dyDescent="0.3">
      <c r="B11" s="68" t="s">
        <v>452</v>
      </c>
      <c r="C11" s="98">
        <f>COUNTIFS(Tabela7[Total years of experience],"&gt;=0",Tabela7[Total years of experience],"&lt;5",Tabela7[Yearly brutto salary],"&gt;=50000",Tabela7[Yearly brutto salary],"&lt;70000")</f>
        <v>131</v>
      </c>
      <c r="D11" s="98">
        <f>COUNTIFS(Tabela7[Total years of experience],"&gt;=5",Tabela7[Total years of experience],"&lt;10",Tabela7[Yearly brutto salary],"&gt;=50000",Tabela7[Yearly brutto salary],"&lt;70000")</f>
        <v>222</v>
      </c>
      <c r="E11" s="98">
        <f>COUNTIFS(Tabela7[Total years of experience],"&gt;=10",Tabela7[Total years of experience],"&lt;15",Tabela7[Yearly brutto salary],"&gt;=50000",Tabela7[Yearly brutto salary],"&lt;70000")</f>
        <v>77</v>
      </c>
      <c r="F11" s="98">
        <f>COUNTIFS(Tabela7[Total years of experience],"&gt;=15",Tabela7[Total years of experience],"&lt;20",Tabela7[Yearly brutto salary],"&gt;=50000",Tabela7[Yearly brutto salary],"&lt;70000")</f>
        <v>28</v>
      </c>
      <c r="G11" s="98">
        <f>COUNTIFS(Tabela7[Total years of experience],"&gt;=20",Tabela7[Total years of experience],"&lt;25",Tabela7[Yearly brutto salary],"&gt;=50000",Tabela7[Yearly brutto salary],"&lt;70000")</f>
        <v>5</v>
      </c>
      <c r="H11" s="98">
        <f>COUNTIFS(Tabela7[Total years of experience],"&gt;=25",Tabela7[Total years of experience],"&lt;35",Tabela7[Yearly brutto salary],"&gt;=50000",Tabela7[Yearly brutto salary],"&lt;70000")</f>
        <v>5</v>
      </c>
      <c r="I11" s="98">
        <f>COUNTIFS(Tabela7[Total years of experience],"&gt;=30",Tabela7[Total years of experience],"&lt;35",Tabela7[Yearly brutto salary],"&gt;=50000",Tabela7[Yearly brutto salary],"&lt;70000")</f>
        <v>3</v>
      </c>
      <c r="J11" s="98">
        <f>COUNTIFS(Tabela7[Total years of experience],"&gt;=35",Tabela7[Total years of experience],"&lt;45",Tabela7[Yearly brutto salary],"&gt;=50000",Tabela7[Yearly brutto salary],"&lt;70000")</f>
        <v>0</v>
      </c>
      <c r="K11" s="98">
        <f>COUNTIFS(Tabela7[Total years of experience],"&gt;=40",Tabela7[Total years of experience],"&lt;45",Tabela7[Yearly brutto salary],"&gt;=50000",Tabela7[Yearly brutto salary],"&lt;70000")</f>
        <v>0</v>
      </c>
      <c r="L11" s="98">
        <f>COUNTIFS(Tabela7[Total years of experience],"&gt;=45",Tabela7[Yearly brutto salary],"&gt;=70000",Tabela7[Yearly brutto salary],"950000")</f>
        <v>0</v>
      </c>
      <c r="M11" s="122">
        <f t="shared" si="0"/>
        <v>471</v>
      </c>
      <c r="O11" s="4">
        <v>1</v>
      </c>
      <c r="P11" s="4">
        <v>11000</v>
      </c>
    </row>
    <row r="12" spans="1:16" x14ac:dyDescent="0.3">
      <c r="B12" s="68" t="s">
        <v>458</v>
      </c>
      <c r="C12" s="98">
        <f>COUNTIFS(Tabela7[Total years of experience],"&gt;=0",Tabela7[Total years of experience],"&lt;5",Tabela7[Yearly brutto salary],"&gt;=70000",Tabela7[Yearly brutto salary],"&lt;90000")</f>
        <v>24</v>
      </c>
      <c r="D12" s="98">
        <f>COUNTIFS(Tabela7[Total years of experience],"&gt;=5",Tabela7[Total years of experience],"&lt;10",Tabela7[Yearly brutto salary],"&gt;=70000",Tabela7[Yearly brutto salary],"&lt;90000")</f>
        <v>177</v>
      </c>
      <c r="E12" s="98">
        <f>COUNTIFS(Tabela7[Total years of experience],"&gt;=10",Tabela7[Total years of experience],"&lt;15",Tabela7[Yearly brutto salary],"&gt;=70000",Tabela7[Yearly brutto salary],"&lt;90000")</f>
        <v>157</v>
      </c>
      <c r="F12" s="98">
        <f>COUNTIFS(Tabela7[Total years of experience],"&gt;=15",Tabela7[Total years of experience],"&lt;20",Tabela7[Yearly brutto salary],"&gt;=70000",Tabela7[Yearly brutto salary],"&lt;90000")</f>
        <v>51</v>
      </c>
      <c r="G12" s="98">
        <f>COUNTIFS(Tabela7[Total years of experience],"&gt;=20",Tabela7[Total years of experience],"&lt;25",Tabela7[Yearly brutto salary],"&gt;=70000",Tabela7[Yearly brutto salary],"&lt;90000")</f>
        <v>18</v>
      </c>
      <c r="H12" s="98">
        <f>COUNTIFS(Tabela7[Total years of experience],"&gt;=25",Tabela7[Total years of experience],"&lt;30",Tabela7[Yearly brutto salary],"&gt;=70000",Tabela7[Yearly brutto salary],"&lt;90000")</f>
        <v>6</v>
      </c>
      <c r="I12" s="98">
        <f>COUNTIFS(Tabela7[Total years of experience],"&gt;=30",Tabela7[Total years of experience],"&lt;35",Tabela7[Yearly brutto salary],"&gt;=70000",Tabela7[Yearly brutto salary],"&lt;90000")</f>
        <v>0</v>
      </c>
      <c r="J12" s="98">
        <f>COUNTIFS(Tabela7[Total years of experience],"&gt;=35",Tabela7[Total years of experience],"&lt;40",Tabela7[Yearly brutto salary],"&gt;=70000",Tabela7[Yearly brutto salary],"&lt;90000")</f>
        <v>0</v>
      </c>
      <c r="K12" s="98">
        <f>COUNTIFS(Tabela7[Total years of experience],"&gt;=40",Tabela7[Total years of experience],"&lt;45",Tabela7[Yearly brutto salary],"&gt;=70000",Tabela7[Yearly brutto salary],"&lt;90000")</f>
        <v>1</v>
      </c>
      <c r="L12" s="98">
        <f>COUNTIFS(Tabela7[Total years of experience],"&gt;=45",Tabela7[Yearly brutto salary],"&gt;=70000",Tabela7[Yearly brutto salary],"&lt;90000")</f>
        <v>0</v>
      </c>
      <c r="M12" s="122">
        <f t="shared" si="0"/>
        <v>434</v>
      </c>
      <c r="O12" s="4">
        <v>1</v>
      </c>
      <c r="P12" s="4">
        <v>12000</v>
      </c>
    </row>
    <row r="13" spans="1:16" x14ac:dyDescent="0.3">
      <c r="B13" s="68" t="s">
        <v>453</v>
      </c>
      <c r="C13" s="98">
        <f>COUNTIFS(Tabela7[Total years of experience],"&gt;=0",Tabela7[Total years of experience],"&lt;5",Tabela7[Yearly brutto salary],"&gt;=90000",Tabela7[Yearly brutto salary],"&lt;110000")</f>
        <v>6</v>
      </c>
      <c r="D13" s="98">
        <f>COUNTIFS(Tabela7[Total years of experience],"&gt;=5",Tabela7[Total years of experience],"&lt;10",Tabela7[Yearly brutto salary],"&gt;=90000",Tabela7[Yearly brutto salary],"&lt;110000")</f>
        <v>32</v>
      </c>
      <c r="E13" s="98">
        <f>COUNTIFS(Tabela7[Total years of experience],"&gt;=10",Tabela7[Total years of experience],"&lt;15",Tabela7[Yearly brutto salary],"&gt;=90000",Tabela7[Yearly brutto salary],"&lt;110000")</f>
        <v>59</v>
      </c>
      <c r="F13" s="98">
        <f>COUNTIFS(Tabela7[Total years of experience],"&gt;=15",Tabela7[Total years of experience],"&lt;20",Tabela7[Yearly brutto salary],"&gt;=90000",Tabela7[Yearly brutto salary],"&lt;110000")</f>
        <v>23</v>
      </c>
      <c r="G13" s="98">
        <f>COUNTIFS(Tabela7[Total years of experience],"&gt;=20",Tabela7[Total years of experience],"&lt;25",Tabela7[Yearly brutto salary],"&gt;=90000",Tabela7[Yearly brutto salary],"&lt;110000")</f>
        <v>5</v>
      </c>
      <c r="H13" s="98">
        <f>COUNTIFS(Tabela7[Total years of experience],"&gt;=25",Tabela7[Total years of experience],"&lt;30",Tabela7[Yearly brutto salary],"&gt;=90000",Tabela7[Yearly brutto salary],"&lt;110000")</f>
        <v>3</v>
      </c>
      <c r="I13" s="98">
        <f>COUNTIFS(Tabela7[Total years of experience],"&gt;=30",Tabela7[Total years of experience],"&lt;35",Tabela7[Yearly brutto salary],"&gt;=90000",Tabela7[Yearly brutto salary],"&lt;110000")</f>
        <v>0</v>
      </c>
      <c r="J13" s="98">
        <f>COUNTIFS(Tabela7[Total years of experience],"&gt;=35",Tabela7[Total years of experience],"&lt;40",Tabela7[Yearly brutto salary],"&gt;=90000",Tabela7[Yearly brutto salary],"&lt;110000")</f>
        <v>0</v>
      </c>
      <c r="K13" s="98">
        <f>COUNTIFS(Tabela7[Total years of experience],"&gt;=40",Tabela7[Total years of experience],"&lt;45",Tabela7[Yearly brutto salary],"&gt;=90000",Tabela7[Yearly brutto salary],"&lt;110000")</f>
        <v>0</v>
      </c>
      <c r="L13" s="98">
        <f>COUNTIFS(Tabela7[Total years of experience],"&gt;=45",Tabela7[Yearly brutto salary],"&gt;=90000",Tabela7[Yearly brutto salary],"&lt;110000")</f>
        <v>0</v>
      </c>
      <c r="M13" s="122">
        <f t="shared" si="0"/>
        <v>128</v>
      </c>
      <c r="O13" s="4">
        <v>1</v>
      </c>
      <c r="P13" s="4">
        <v>14400</v>
      </c>
    </row>
    <row r="14" spans="1:16" x14ac:dyDescent="0.3">
      <c r="B14" s="68" t="s">
        <v>454</v>
      </c>
      <c r="C14" s="98">
        <f>COUNTIFS(Tabela7[Total years of experience],"&gt;=0",Tabela7[Total years of experience],"&lt;5",Tabela7[Yearly brutto salary],"&gt;=110000",Tabela7[Yearly brutto salary],"&lt;130000")</f>
        <v>0</v>
      </c>
      <c r="D14" s="98">
        <f>COUNTIFS(Tabela7[Total years of experience],"&gt;=5",Tabela7[Total years of experience],"&lt;10",Tabela7[Yearly brutto salary],"&gt;=110000",Tabela7[Yearly brutto salary],"&lt;130000")</f>
        <v>7</v>
      </c>
      <c r="E14" s="98">
        <f>COUNTIFS(Tabela7[Total years of experience],"&gt;=10",Tabela7[Total years of experience],"&lt;15",Tabela7[Yearly brutto salary],"&gt;=110000",Tabela7[Yearly brutto salary],"&lt;130000")</f>
        <v>13</v>
      </c>
      <c r="F14" s="98">
        <f>COUNTIFS(Tabela7[Total years of experience],"&gt;=15",Tabela7[Total years of experience],"&lt;20",Tabela7[Yearly brutto salary],"&gt;=110000",Tabela7[Yearly brutto salary],"&lt;130000")</f>
        <v>8</v>
      </c>
      <c r="G14" s="98">
        <f>COUNTIFS(Tabela7[Total years of experience],"&gt;=20",Tabela7[Total years of experience],"&lt;25",Tabela7[Yearly brutto salary],"&gt;=110000",Tabela7[Yearly brutto salary],"&lt;130000")</f>
        <v>2</v>
      </c>
      <c r="H14" s="98">
        <f>COUNTIFS(Tabela7[Total years of experience],"&gt;=25",Tabela7[Total years of experience],"&lt;30",Tabela7[Yearly brutto salary],"&gt;=110000",Tabela7[Yearly brutto salary],"&lt;130000")</f>
        <v>0</v>
      </c>
      <c r="I14" s="98">
        <f>COUNTIFS(Tabela7[Total years of experience],"&gt;=30",Tabela7[Total years of experience],"&lt;35",Tabela7[Yearly brutto salary],"&gt;=110000",Tabela7[Yearly brutto salary],"&lt;130000")</f>
        <v>2</v>
      </c>
      <c r="J14" s="98">
        <f>COUNTIFS(Tabela7[Total years of experience],"&gt;=35",Tabela7[Total years of experience],"&lt;40",Tabela7[Yearly brutto salary],"&gt;=110000",Tabela7[Yearly brutto salary],"&lt;130000")</f>
        <v>0</v>
      </c>
      <c r="K14" s="98">
        <f>COUNTIFS(Tabela7[Total years of experience],"&gt;=40",Tabela7[Total years of experience],"&lt;45",Tabela7[Yearly brutto salary],"&gt;=110000",Tabela7[Yearly brutto salary],"&lt;130000")</f>
        <v>0</v>
      </c>
      <c r="L14" s="98">
        <f>COUNTIFS(Tabela7[Total years of experience],"&gt;=45",Tabela7[Yearly brutto salary],"&gt;=110000",Tabela7[Yearly brutto salary],"&lt;130000")</f>
        <v>0</v>
      </c>
      <c r="M14" s="122">
        <f t="shared" si="0"/>
        <v>32</v>
      </c>
      <c r="O14" s="4">
        <v>1</v>
      </c>
      <c r="P14" s="4">
        <v>30000</v>
      </c>
    </row>
    <row r="15" spans="1:16" x14ac:dyDescent="0.3">
      <c r="B15" s="68" t="s">
        <v>455</v>
      </c>
      <c r="C15" s="98">
        <f>COUNTIFS(Tabela7[Total years of experience],"&gt;=0",Tabela7[Total years of experience],"&lt;5",Tabela7[Yearly brutto salary],"&gt;=130000",Tabela7[Yearly brutto salary],"&lt;150000")</f>
        <v>1</v>
      </c>
      <c r="D15" s="98">
        <f>COUNTIFS(Tabela7[Total years of experience],"&gt;=5",Tabela7[Total years of experience],"&lt;10",Tabela7[Yearly brutto salary],"&gt;=130000",Tabela7[Yearly brutto salary],"&lt;150000")</f>
        <v>1</v>
      </c>
      <c r="E15" s="98">
        <f>COUNTIFS(Tabela7[Total years of experience],"&gt;=10",Tabela7[Total years of experience],"&lt;15",Tabela7[Yearly brutto salary],"&gt;=130000",Tabela7[Yearly brutto salary],"&lt;150000")</f>
        <v>4</v>
      </c>
      <c r="F15" s="98">
        <f>COUNTIFS(Tabela7[Total years of experience],"&gt;=15",Tabela7[Total years of experience],"&lt;20",Tabela7[Yearly brutto salary],"&gt;=130000",Tabela7[Yearly brutto salary],"&lt;150000")</f>
        <v>0</v>
      </c>
      <c r="G15" s="98">
        <f>COUNTIFS(Tabela7[Total years of experience],"&gt;=20",Tabela7[Total years of experience],"&lt;25",Tabela7[Yearly brutto salary],"&gt;=130000",Tabela7[Yearly brutto salary],"&lt;150000")</f>
        <v>3</v>
      </c>
      <c r="H15" s="98">
        <f>COUNTIFS(Tabela7[Total years of experience],"&gt;=25",Tabela7[Total years of experience],"&lt;30",Tabela7[Yearly brutto salary],"&gt;=130000",Tabela7[Yearly brutto salary],"&lt;150000")</f>
        <v>0</v>
      </c>
      <c r="I15" s="98">
        <f>COUNTIFS(Tabela7[Total years of experience],"&gt;=30",Tabela7[Total years of experience],"&lt;35",Tabela7[Yearly brutto salary],"&gt;=130000",Tabela7[Yearly brutto salary],"&lt;150000")</f>
        <v>0</v>
      </c>
      <c r="J15" s="98">
        <f>COUNTIFS(Tabela7[Total years of experience],"&gt;=35",Tabela7[Total years of experience],"&lt;40",Tabela7[Yearly brutto salary],"&gt;=130000",Tabela7[Yearly brutto salary],"&lt;150000")</f>
        <v>0</v>
      </c>
      <c r="K15" s="98">
        <f>COUNTIFS(Tabela7[Total years of experience],"&gt;=40",Tabela7[Total years of experience],"&lt;45",Tabela7[Yearly brutto salary],"&gt;=130000",Tabela7[Yearly brutto salary],"&lt;150000")</f>
        <v>0</v>
      </c>
      <c r="L15" s="98">
        <f>COUNTIFS(Tabela7[Total years of experience],"&gt;=45",Tabela7[Yearly brutto salary],"&gt;=170000",Tabela7[Yearly brutto salary],"&lt;150000")</f>
        <v>0</v>
      </c>
      <c r="M15" s="122">
        <f t="shared" si="0"/>
        <v>9</v>
      </c>
      <c r="O15" s="3">
        <v>1</v>
      </c>
      <c r="P15" s="3">
        <v>30000</v>
      </c>
    </row>
    <row r="16" spans="1:16" x14ac:dyDescent="0.3">
      <c r="B16" s="68" t="s">
        <v>456</v>
      </c>
      <c r="C16" s="98">
        <f>COUNTIFS(Tabela7[Total years of experience],"&gt;=0",Tabela7[Total years of experience],"&lt;5",Tabela7[Yearly brutto salary],"&gt;=170000",Tabela7[Yearly brutto salary],"&lt;190000")</f>
        <v>0</v>
      </c>
      <c r="D16" s="98">
        <f>COUNTIFS(Tabela7[Total years of experience],"&gt;=5",Tabela7[Total years of experience],"&lt;10",Tabela7[Yearly brutto salary],"&gt;=170000",Tabela7[Yearly brutto salary],"&lt;190000")</f>
        <v>1</v>
      </c>
      <c r="E16" s="98">
        <f>COUNTIFS(Tabela7[Total years of experience],"&gt;=10",Tabela7[Total years of experience],"&lt;15",Tabela7[Yearly brutto salary],"&gt;=170000",Tabela7[Yearly brutto salary],"&lt;190000")</f>
        <v>1</v>
      </c>
      <c r="F16" s="98">
        <f>COUNTIFS(Tabela7[Total years of experience],"&gt;=15",Tabela7[Total years of experience],"&lt;20",Tabela7[Yearly brutto salary],"&gt;=170000",Tabela7[Yearly brutto salary],"&lt;190000")</f>
        <v>1</v>
      </c>
      <c r="G16" s="98">
        <f>COUNTIFS(Tabela7[Total years of experience],"&gt;=20",Tabela7[Total years of experience],"&lt;25",Tabela7[Yearly brutto salary],"&gt;=170000",Tabela7[Yearly brutto salary],"&lt;190000")</f>
        <v>0</v>
      </c>
      <c r="H16" s="98">
        <f>COUNTIFS(Tabela7[Total years of experience],"&gt;=25",Tabela7[Total years of experience],"&lt;30",Tabela7[Yearly brutto salary],"&gt;=170000",Tabela7[Yearly brutto salary],"&lt;190000")</f>
        <v>0</v>
      </c>
      <c r="I16" s="98">
        <f>COUNTIFS(Tabela7[Total years of experience],"&gt;=30",Tabela7[Total years of experience],"&lt;35",Tabela7[Yearly brutto salary],"&gt;=170000",Tabela7[Yearly brutto salary],"&lt;190000")</f>
        <v>0</v>
      </c>
      <c r="J16" s="98">
        <f>COUNTIFS(Tabela7[Total years of experience],"&gt;=35",Tabela7[Total years of experience],"&lt;40",Tabela7[Yearly brutto salary],"&gt;=170000",Tabela7[Yearly brutto salary],"&lt;190000")</f>
        <v>0</v>
      </c>
      <c r="K16" s="98">
        <f>COUNTIFS(Tabela7[Total years of experience],"&gt;=40",Tabela7[Total years of experience],"&lt;45",Tabela7[Yearly brutto salary],"&gt;=170000",Tabela7[Yearly brutto salary],"&lt;190000")</f>
        <v>0</v>
      </c>
      <c r="L16" s="98">
        <f>COUNTIFS(Tabela7[Total years of experience],"&gt;=45",Tabela7[Yearly brutto salary],"&gt;=170000",Tabela7[Yearly brutto salary],"&lt;190000")</f>
        <v>0</v>
      </c>
      <c r="M16" s="122">
        <f t="shared" si="0"/>
        <v>3</v>
      </c>
      <c r="O16" s="4">
        <v>1</v>
      </c>
      <c r="P16" s="4">
        <v>36000</v>
      </c>
    </row>
    <row r="17" spans="2:16" x14ac:dyDescent="0.3">
      <c r="B17" s="68" t="s">
        <v>457</v>
      </c>
      <c r="C17" s="98">
        <f>COUNTIFS(Tabela7[Total years of experience],"&gt;=0",Tabela7[Total years of experience],"&lt;5",Tabela7[Yearly brutto salary],"&gt;=190000",Tabela7[Yearly brutto salary],"&lt;210000")</f>
        <v>0</v>
      </c>
      <c r="D17" s="98">
        <f>COUNTIFS(Tabela7[Total years of experience],"&gt;=5",Tabela7[Total years of experience],"&lt;10",Tabela7[Yearly brutto salary],"&gt;=190000",Tabela7[Yearly brutto salary],"&lt;210000")</f>
        <v>1</v>
      </c>
      <c r="E17" s="98">
        <f>COUNTIFS(Tabela7[Total years of experience],"&gt;=10",Tabela7[Total years of experience],"&lt;15",Tabela7[Yearly brutto salary],"&gt;=190000",Tabela7[Yearly brutto salary],"&lt;210000")</f>
        <v>1</v>
      </c>
      <c r="F17" s="98">
        <f>COUNTIFS(Tabela7[Total years of experience],"&gt;=15",Tabela7[Total years of experience],"&lt;20",Tabela7[Yearly brutto salary],"&gt;=190000",Tabela7[Yearly brutto salary],"&lt;210000")</f>
        <v>0</v>
      </c>
      <c r="G17" s="98">
        <f>COUNTIFS(Tabela7[Total years of experience],"&gt;=20",Tabela7[Total years of experience],"&lt;25",Tabela7[Yearly brutto salary],"&gt;=190000",Tabela7[Yearly brutto salary],"&lt;210000")</f>
        <v>2</v>
      </c>
      <c r="H17" s="98">
        <f>COUNTIFS(Tabela7[Total years of experience],"&gt;=25",Tabela7[Total years of experience],"&lt;30",Tabela7[Yearly brutto salary],"&gt;=190000",Tabela7[Yearly brutto salary],"&lt;210000")</f>
        <v>0</v>
      </c>
      <c r="I17" s="98">
        <f>COUNTIFS(Tabela7[Total years of experience],"&gt;=30",Tabela7[Total years of experience],"&lt;35",Tabela7[Yearly brutto salary],"&gt;=190000",Tabela7[Yearly brutto salary],"&lt;210000")</f>
        <v>0</v>
      </c>
      <c r="J17" s="98">
        <f>COUNTIFS(Tabela7[Total years of experience],"&gt;=35",Tabela7[Total years of experience],"&lt;40",Tabela7[Yearly brutto salary],"&gt;=190000",Tabela7[Yearly brutto salary],"&lt;210000")</f>
        <v>0</v>
      </c>
      <c r="K17" s="98">
        <f>COUNTIFS(Tabela7[Total years of experience],"&gt;=40",Tabela7[Total years of experience],"&lt;45",Tabela7[Yearly brutto salary],"&gt;=190000",Tabela7[Yearly brutto salary],"&lt;210000")</f>
        <v>0</v>
      </c>
      <c r="L17" s="98">
        <f>COUNTIFS(Tabela7[Total years of experience],"&gt;=45",Tabela7[Yearly brutto salary],"&gt;=190000",Tabela7[Yearly brutto salary],"&lt;210000")</f>
        <v>0</v>
      </c>
      <c r="M17" s="122">
        <f t="shared" si="0"/>
        <v>4</v>
      </c>
      <c r="O17" s="4">
        <v>1</v>
      </c>
      <c r="P17" s="4">
        <v>37500</v>
      </c>
    </row>
    <row r="18" spans="2:16" x14ac:dyDescent="0.3">
      <c r="B18" s="68" t="s">
        <v>502</v>
      </c>
      <c r="C18" s="98">
        <f>COUNTIFS(Tabela7[Total years of experience],"&gt;=0",Tabela7[Total years of experience],"&lt;5",Tabela7[Yearly brutto salary],"&gt;=210000")</f>
        <v>1</v>
      </c>
      <c r="D18" s="98">
        <f>COUNTIFS(Tabela7[Total years of experience],"&gt;=5",Tabela7[Total years of experience],"&lt;10",Tabela7[Yearly brutto salary],"&gt;=210000")</f>
        <v>1</v>
      </c>
      <c r="E18" s="98">
        <f>COUNTIFS(Tabela7[Total years of experience],"&gt;=10",Tabela7[Total years of experience],"&lt;15",Tabela7[Yearly brutto salary],"&gt;=210000")</f>
        <v>0</v>
      </c>
      <c r="F18" s="98">
        <f>COUNTIFS(Tabela7[Total years of experience],"&gt;=15",Tabela7[Total years of experience],"&lt;20",Tabela7[Yearly brutto salary],"&gt;=210000")</f>
        <v>0</v>
      </c>
      <c r="G18" s="98">
        <f>COUNTIFS(Tabela7[Total years of experience],"&gt;=20",Tabela7[Total years of experience],"&lt;25",Tabela7[Yearly brutto salary],"&gt;=210000")</f>
        <v>1</v>
      </c>
      <c r="H18" s="98">
        <f>COUNTIFS(Tabela7[Total years of experience],"&gt;=25",Tabela7[Total years of experience],"&lt;30",Tabela7[Yearly brutto salary],"&gt;=210000")</f>
        <v>0</v>
      </c>
      <c r="I18" s="98">
        <f>COUNTIFS(Tabela7[Total years of experience],"&gt;=30",Tabela7[Total years of experience],"&lt;35",Tabela7[Yearly brutto salary],"&gt;=210000")</f>
        <v>0</v>
      </c>
      <c r="J18" s="98">
        <f>COUNTIFS(Tabela7[Total years of experience],"&gt;=35",Tabela7[Total years of experience],"&lt;40",Tabela7[Yearly brutto salary],"&gt;=210000")</f>
        <v>0</v>
      </c>
      <c r="K18" s="98">
        <f>COUNTIFS(Tabela7[Total years of experience],"&gt;=40",Tabela7[Total years of experience],"&lt;45",Tabela7[Yearly brutto salary],"&gt;=210000")</f>
        <v>0</v>
      </c>
      <c r="L18" s="98">
        <f>COUNTIFS(Tabela7[Total years of experience],"&gt;=45",Tabela7[Yearly brutto salary],"&gt;=210000")</f>
        <v>0</v>
      </c>
      <c r="M18" s="122">
        <f t="shared" si="0"/>
        <v>3</v>
      </c>
      <c r="O18" s="4">
        <v>1</v>
      </c>
      <c r="P18" s="4">
        <v>38000</v>
      </c>
    </row>
    <row r="19" spans="2:16" x14ac:dyDescent="0.3">
      <c r="B19" s="69" t="s">
        <v>425</v>
      </c>
      <c r="C19" s="123">
        <f>SUM(C9:C18)</f>
        <v>254</v>
      </c>
      <c r="D19" s="123">
        <f t="shared" ref="D19:L19" si="1">SUM(D9:D18)</f>
        <v>473</v>
      </c>
      <c r="E19" s="123">
        <f t="shared" si="1"/>
        <v>326</v>
      </c>
      <c r="F19" s="123">
        <f t="shared" si="1"/>
        <v>114</v>
      </c>
      <c r="G19" s="123">
        <f t="shared" si="1"/>
        <v>39</v>
      </c>
      <c r="H19" s="123">
        <f t="shared" si="1"/>
        <v>15</v>
      </c>
      <c r="I19" s="123">
        <f t="shared" si="1"/>
        <v>5</v>
      </c>
      <c r="J19" s="123">
        <f t="shared" si="1"/>
        <v>0</v>
      </c>
      <c r="K19" s="123">
        <f t="shared" si="1"/>
        <v>1</v>
      </c>
      <c r="L19" s="123">
        <f t="shared" si="1"/>
        <v>0</v>
      </c>
      <c r="M19" s="124">
        <f>SUM(M9:M18)</f>
        <v>1227</v>
      </c>
      <c r="O19" s="3">
        <v>1</v>
      </c>
      <c r="P19" s="3">
        <v>42000</v>
      </c>
    </row>
    <row r="20" spans="2:16" x14ac:dyDescent="0.3">
      <c r="O20" s="3">
        <v>1</v>
      </c>
      <c r="P20" s="3">
        <v>42000</v>
      </c>
    </row>
    <row r="21" spans="2:16" x14ac:dyDescent="0.3">
      <c r="O21" s="3">
        <v>1</v>
      </c>
      <c r="P21" s="3">
        <v>43000</v>
      </c>
    </row>
    <row r="22" spans="2:16" x14ac:dyDescent="0.3">
      <c r="O22" s="4">
        <v>1</v>
      </c>
      <c r="P22" s="4">
        <v>43500</v>
      </c>
    </row>
    <row r="23" spans="2:16" x14ac:dyDescent="0.3">
      <c r="O23" s="3">
        <v>1</v>
      </c>
      <c r="P23" s="3">
        <v>45000</v>
      </c>
    </row>
    <row r="24" spans="2:16" x14ac:dyDescent="0.3">
      <c r="O24" s="4">
        <v>1</v>
      </c>
      <c r="P24" s="4">
        <v>45000</v>
      </c>
    </row>
    <row r="25" spans="2:16" x14ac:dyDescent="0.3">
      <c r="O25" s="3">
        <v>1</v>
      </c>
      <c r="P25" s="3">
        <v>45500</v>
      </c>
    </row>
    <row r="26" spans="2:16" x14ac:dyDescent="0.3">
      <c r="O26" s="3">
        <v>1</v>
      </c>
      <c r="P26" s="3">
        <v>48000</v>
      </c>
    </row>
    <row r="27" spans="2:16" x14ac:dyDescent="0.3">
      <c r="O27" s="3">
        <v>1</v>
      </c>
      <c r="P27" s="3">
        <v>49000</v>
      </c>
    </row>
    <row r="28" spans="2:16" x14ac:dyDescent="0.3">
      <c r="O28" s="4">
        <v>1</v>
      </c>
      <c r="P28" s="4">
        <v>50000</v>
      </c>
    </row>
    <row r="29" spans="2:16" x14ac:dyDescent="0.3">
      <c r="O29" s="4">
        <v>1</v>
      </c>
      <c r="P29" s="4">
        <v>50000</v>
      </c>
    </row>
    <row r="30" spans="2:16" x14ac:dyDescent="0.3">
      <c r="O30" s="4">
        <v>1</v>
      </c>
      <c r="P30" s="4">
        <v>51000</v>
      </c>
    </row>
    <row r="31" spans="2:16" x14ac:dyDescent="0.3">
      <c r="O31" s="4">
        <v>1</v>
      </c>
      <c r="P31" s="4">
        <v>55000</v>
      </c>
    </row>
    <row r="32" spans="2:16" x14ac:dyDescent="0.3">
      <c r="O32" s="3">
        <v>1</v>
      </c>
      <c r="P32" s="3">
        <v>57000</v>
      </c>
    </row>
    <row r="33" spans="2:16" x14ac:dyDescent="0.3">
      <c r="O33" s="3">
        <v>1</v>
      </c>
      <c r="P33" s="3">
        <v>57000</v>
      </c>
    </row>
    <row r="34" spans="2:16" x14ac:dyDescent="0.3">
      <c r="O34" s="4">
        <v>1</v>
      </c>
      <c r="P34" s="4">
        <v>57600</v>
      </c>
    </row>
    <row r="35" spans="2:16" x14ac:dyDescent="0.3">
      <c r="O35" s="4">
        <v>1</v>
      </c>
      <c r="P35" s="4">
        <v>60000</v>
      </c>
    </row>
    <row r="36" spans="2:16" x14ac:dyDescent="0.3">
      <c r="O36" s="4">
        <v>1</v>
      </c>
      <c r="P36" s="4">
        <v>63000</v>
      </c>
    </row>
    <row r="37" spans="2:16" x14ac:dyDescent="0.3">
      <c r="O37" s="4">
        <v>1</v>
      </c>
      <c r="P37" s="4">
        <v>65000</v>
      </c>
    </row>
    <row r="38" spans="2:16" x14ac:dyDescent="0.3">
      <c r="O38" s="4">
        <v>1</v>
      </c>
      <c r="P38" s="4">
        <v>130000</v>
      </c>
    </row>
    <row r="39" spans="2:16" x14ac:dyDescent="0.3">
      <c r="B39" s="61" t="s">
        <v>512</v>
      </c>
      <c r="C39" s="56">
        <f>CORREL(Tabela7[Total years of experience],Tabela7[Yearly brutto salary])</f>
        <v>0.36666398545042928</v>
      </c>
      <c r="O39" s="4">
        <v>1</v>
      </c>
      <c r="P39" s="4">
        <v>159000</v>
      </c>
    </row>
    <row r="40" spans="2:16" x14ac:dyDescent="0.3">
      <c r="O40" s="3">
        <v>1</v>
      </c>
      <c r="P40" s="3">
        <v>300000</v>
      </c>
    </row>
    <row r="41" spans="2:16" x14ac:dyDescent="0.3">
      <c r="O41" s="6">
        <v>1.5</v>
      </c>
      <c r="P41" s="4">
        <v>46000</v>
      </c>
    </row>
    <row r="42" spans="2:16" x14ac:dyDescent="0.3">
      <c r="O42" s="3">
        <v>1.5</v>
      </c>
      <c r="P42" s="3">
        <v>49850</v>
      </c>
    </row>
    <row r="43" spans="2:16" x14ac:dyDescent="0.3">
      <c r="O43" s="4">
        <v>1.5</v>
      </c>
      <c r="P43" s="4">
        <v>50000</v>
      </c>
    </row>
    <row r="44" spans="2:16" x14ac:dyDescent="0.3">
      <c r="O44" s="4">
        <v>1.5</v>
      </c>
      <c r="P44" s="4">
        <v>58000</v>
      </c>
    </row>
    <row r="45" spans="2:16" x14ac:dyDescent="0.3">
      <c r="O45" s="4">
        <v>2</v>
      </c>
      <c r="P45" s="4">
        <v>12000</v>
      </c>
    </row>
    <row r="46" spans="2:16" x14ac:dyDescent="0.3">
      <c r="O46" s="4">
        <v>2</v>
      </c>
      <c r="P46" s="4">
        <v>13000</v>
      </c>
    </row>
    <row r="47" spans="2:16" x14ac:dyDescent="0.3">
      <c r="O47" s="3">
        <v>2</v>
      </c>
      <c r="P47" s="3">
        <v>18700</v>
      </c>
    </row>
    <row r="48" spans="2:16" x14ac:dyDescent="0.3">
      <c r="O48" s="4">
        <v>2</v>
      </c>
      <c r="P48" s="4">
        <v>24000</v>
      </c>
    </row>
    <row r="49" spans="15:16" x14ac:dyDescent="0.3">
      <c r="O49" s="3">
        <v>2</v>
      </c>
      <c r="P49" s="3">
        <v>25000</v>
      </c>
    </row>
    <row r="50" spans="15:16" x14ac:dyDescent="0.3">
      <c r="O50" s="4">
        <v>2</v>
      </c>
      <c r="P50" s="4">
        <v>25300</v>
      </c>
    </row>
    <row r="51" spans="15:16" x14ac:dyDescent="0.3">
      <c r="O51" s="4">
        <v>2</v>
      </c>
      <c r="P51" s="4">
        <v>32000</v>
      </c>
    </row>
    <row r="52" spans="15:16" x14ac:dyDescent="0.3">
      <c r="O52" s="4">
        <v>2</v>
      </c>
      <c r="P52" s="4">
        <v>35000</v>
      </c>
    </row>
    <row r="53" spans="15:16" x14ac:dyDescent="0.3">
      <c r="O53" s="3">
        <v>2</v>
      </c>
      <c r="P53" s="3">
        <v>36000</v>
      </c>
    </row>
    <row r="54" spans="15:16" x14ac:dyDescent="0.3">
      <c r="O54" s="4">
        <v>2</v>
      </c>
      <c r="P54" s="4">
        <v>40000</v>
      </c>
    </row>
    <row r="55" spans="15:16" x14ac:dyDescent="0.3">
      <c r="O55" s="4">
        <v>2</v>
      </c>
      <c r="P55" s="4">
        <v>42000</v>
      </c>
    </row>
    <row r="56" spans="15:16" x14ac:dyDescent="0.3">
      <c r="O56" s="3">
        <v>2</v>
      </c>
      <c r="P56" s="3">
        <v>44000</v>
      </c>
    </row>
    <row r="57" spans="15:16" x14ac:dyDescent="0.3">
      <c r="O57" s="4">
        <v>2</v>
      </c>
      <c r="P57" s="4">
        <v>45000</v>
      </c>
    </row>
    <row r="58" spans="15:16" x14ac:dyDescent="0.3">
      <c r="O58" s="3">
        <v>2</v>
      </c>
      <c r="P58" s="3">
        <v>45000</v>
      </c>
    </row>
    <row r="59" spans="15:16" x14ac:dyDescent="0.3">
      <c r="O59" s="4">
        <v>2</v>
      </c>
      <c r="P59" s="4">
        <v>45000</v>
      </c>
    </row>
    <row r="60" spans="15:16" x14ac:dyDescent="0.3">
      <c r="O60" s="4">
        <v>2</v>
      </c>
      <c r="P60" s="4">
        <v>47000</v>
      </c>
    </row>
    <row r="61" spans="15:16" x14ac:dyDescent="0.3">
      <c r="O61" s="3">
        <v>2</v>
      </c>
      <c r="P61" s="3">
        <v>47000</v>
      </c>
    </row>
    <row r="62" spans="15:16" x14ac:dyDescent="0.3">
      <c r="O62" s="4">
        <v>2</v>
      </c>
      <c r="P62" s="4">
        <v>48000</v>
      </c>
    </row>
    <row r="63" spans="15:16" x14ac:dyDescent="0.3">
      <c r="O63" s="3">
        <v>2</v>
      </c>
      <c r="P63" s="3">
        <v>48000</v>
      </c>
    </row>
    <row r="64" spans="15:16" x14ac:dyDescent="0.3">
      <c r="O64" s="4">
        <v>2</v>
      </c>
      <c r="P64" s="4">
        <v>48000</v>
      </c>
    </row>
    <row r="65" spans="15:16" x14ac:dyDescent="0.3">
      <c r="O65" s="4">
        <v>2</v>
      </c>
      <c r="P65" s="4">
        <v>48000</v>
      </c>
    </row>
    <row r="66" spans="15:16" x14ac:dyDescent="0.3">
      <c r="O66" s="4">
        <v>2</v>
      </c>
      <c r="P66" s="4">
        <v>49000</v>
      </c>
    </row>
    <row r="67" spans="15:16" x14ac:dyDescent="0.3">
      <c r="O67" s="3">
        <v>2</v>
      </c>
      <c r="P67" s="3">
        <v>50000</v>
      </c>
    </row>
    <row r="68" spans="15:16" x14ac:dyDescent="0.3">
      <c r="O68" s="3">
        <v>2</v>
      </c>
      <c r="P68" s="3">
        <v>50000</v>
      </c>
    </row>
    <row r="69" spans="15:16" x14ac:dyDescent="0.3">
      <c r="O69" s="3">
        <v>2</v>
      </c>
      <c r="P69" s="3">
        <v>50000</v>
      </c>
    </row>
    <row r="70" spans="15:16" x14ac:dyDescent="0.3">
      <c r="O70" s="3">
        <v>2</v>
      </c>
      <c r="P70" s="3">
        <v>50000</v>
      </c>
    </row>
    <row r="71" spans="15:16" x14ac:dyDescent="0.3">
      <c r="O71" s="3">
        <v>2</v>
      </c>
      <c r="P71" s="3">
        <v>50000</v>
      </c>
    </row>
    <row r="72" spans="15:16" x14ac:dyDescent="0.3">
      <c r="O72" s="3">
        <v>2</v>
      </c>
      <c r="P72" s="3">
        <v>50000</v>
      </c>
    </row>
    <row r="73" spans="15:16" x14ac:dyDescent="0.3">
      <c r="O73" s="4">
        <v>2</v>
      </c>
      <c r="P73" s="4">
        <v>50000</v>
      </c>
    </row>
    <row r="74" spans="15:16" x14ac:dyDescent="0.3">
      <c r="O74" s="4">
        <v>2</v>
      </c>
      <c r="P74" s="4">
        <v>51000</v>
      </c>
    </row>
    <row r="75" spans="15:16" x14ac:dyDescent="0.3">
      <c r="O75" s="3">
        <v>2</v>
      </c>
      <c r="P75" s="3">
        <v>52000</v>
      </c>
    </row>
    <row r="76" spans="15:16" x14ac:dyDescent="0.3">
      <c r="O76" s="4">
        <v>2</v>
      </c>
      <c r="P76" s="4">
        <v>52000</v>
      </c>
    </row>
    <row r="77" spans="15:16" x14ac:dyDescent="0.3">
      <c r="O77" s="3">
        <v>2</v>
      </c>
      <c r="P77" s="3">
        <v>52500</v>
      </c>
    </row>
    <row r="78" spans="15:16" x14ac:dyDescent="0.3">
      <c r="O78" s="4">
        <v>2</v>
      </c>
      <c r="P78" s="4">
        <v>54000</v>
      </c>
    </row>
    <row r="79" spans="15:16" x14ac:dyDescent="0.3">
      <c r="O79" s="4">
        <v>2</v>
      </c>
      <c r="P79" s="4">
        <v>54000</v>
      </c>
    </row>
    <row r="80" spans="15:16" x14ac:dyDescent="0.3">
      <c r="O80" s="4">
        <v>2</v>
      </c>
      <c r="P80" s="4">
        <v>54000</v>
      </c>
    </row>
    <row r="81" spans="15:16" x14ac:dyDescent="0.3">
      <c r="O81" s="3">
        <v>2</v>
      </c>
      <c r="P81" s="3">
        <v>54000</v>
      </c>
    </row>
    <row r="82" spans="15:16" x14ac:dyDescent="0.3">
      <c r="O82" s="4">
        <v>2</v>
      </c>
      <c r="P82" s="4">
        <v>55000</v>
      </c>
    </row>
    <row r="83" spans="15:16" x14ac:dyDescent="0.3">
      <c r="O83" s="4">
        <v>2</v>
      </c>
      <c r="P83" s="4">
        <v>55200</v>
      </c>
    </row>
    <row r="84" spans="15:16" x14ac:dyDescent="0.3">
      <c r="O84" s="4">
        <v>2</v>
      </c>
      <c r="P84" s="4">
        <v>55200</v>
      </c>
    </row>
    <row r="85" spans="15:16" x14ac:dyDescent="0.3">
      <c r="O85" s="3">
        <v>2</v>
      </c>
      <c r="P85" s="3">
        <v>58000</v>
      </c>
    </row>
    <row r="86" spans="15:16" x14ac:dyDescent="0.3">
      <c r="O86" s="3">
        <v>2</v>
      </c>
      <c r="P86" s="3">
        <v>58000</v>
      </c>
    </row>
    <row r="87" spans="15:16" x14ac:dyDescent="0.3">
      <c r="O87" s="4">
        <v>2</v>
      </c>
      <c r="P87" s="4">
        <v>58000</v>
      </c>
    </row>
    <row r="88" spans="15:16" x14ac:dyDescent="0.3">
      <c r="O88" s="3">
        <v>2</v>
      </c>
      <c r="P88" s="3">
        <v>60000</v>
      </c>
    </row>
    <row r="89" spans="15:16" x14ac:dyDescent="0.3">
      <c r="O89" s="3">
        <v>2</v>
      </c>
      <c r="P89" s="3">
        <v>60000</v>
      </c>
    </row>
    <row r="90" spans="15:16" x14ac:dyDescent="0.3">
      <c r="O90" s="3">
        <v>2</v>
      </c>
      <c r="P90" s="3">
        <v>62000</v>
      </c>
    </row>
    <row r="91" spans="15:16" x14ac:dyDescent="0.3">
      <c r="O91" s="3">
        <v>2</v>
      </c>
      <c r="P91" s="3">
        <v>62000</v>
      </c>
    </row>
    <row r="92" spans="15:16" x14ac:dyDescent="0.3">
      <c r="O92" s="4">
        <v>2</v>
      </c>
      <c r="P92" s="4">
        <v>63000</v>
      </c>
    </row>
    <row r="93" spans="15:16" x14ac:dyDescent="0.3">
      <c r="O93" s="3">
        <v>2</v>
      </c>
      <c r="P93" s="3">
        <v>63000</v>
      </c>
    </row>
    <row r="94" spans="15:16" x14ac:dyDescent="0.3">
      <c r="O94" s="4">
        <v>2</v>
      </c>
      <c r="P94" s="4">
        <v>64000</v>
      </c>
    </row>
    <row r="95" spans="15:16" x14ac:dyDescent="0.3">
      <c r="O95" s="3">
        <v>2</v>
      </c>
      <c r="P95" s="3">
        <v>65000</v>
      </c>
    </row>
    <row r="96" spans="15:16" x14ac:dyDescent="0.3">
      <c r="O96" s="3">
        <v>2</v>
      </c>
      <c r="P96" s="3">
        <v>65000</v>
      </c>
    </row>
    <row r="97" spans="15:16" x14ac:dyDescent="0.3">
      <c r="O97" s="4">
        <v>2</v>
      </c>
      <c r="P97" s="4">
        <v>68000</v>
      </c>
    </row>
    <row r="98" spans="15:16" x14ac:dyDescent="0.3">
      <c r="O98" s="3">
        <v>2</v>
      </c>
      <c r="P98" s="3">
        <v>70000</v>
      </c>
    </row>
    <row r="99" spans="15:16" x14ac:dyDescent="0.3">
      <c r="O99" s="3">
        <v>2</v>
      </c>
      <c r="P99" s="3">
        <v>70000</v>
      </c>
    </row>
    <row r="100" spans="15:16" x14ac:dyDescent="0.3">
      <c r="O100" s="3">
        <v>2</v>
      </c>
      <c r="P100" s="3">
        <v>80000</v>
      </c>
    </row>
    <row r="101" spans="15:16" x14ac:dyDescent="0.3">
      <c r="O101" s="4">
        <v>2</v>
      </c>
      <c r="P101" s="4">
        <v>90000</v>
      </c>
    </row>
    <row r="102" spans="15:16" x14ac:dyDescent="0.3">
      <c r="O102" s="4">
        <v>2.5</v>
      </c>
      <c r="P102" s="4">
        <v>20000</v>
      </c>
    </row>
    <row r="103" spans="15:16" x14ac:dyDescent="0.3">
      <c r="O103" s="4">
        <v>2.5</v>
      </c>
      <c r="P103" s="4">
        <v>40000</v>
      </c>
    </row>
    <row r="104" spans="15:16" x14ac:dyDescent="0.3">
      <c r="O104" s="3">
        <v>2.5</v>
      </c>
      <c r="P104" s="3">
        <v>60000</v>
      </c>
    </row>
    <row r="105" spans="15:16" x14ac:dyDescent="0.3">
      <c r="O105" s="4">
        <v>2.5</v>
      </c>
      <c r="P105" s="4">
        <v>60000</v>
      </c>
    </row>
    <row r="106" spans="15:16" x14ac:dyDescent="0.3">
      <c r="O106" s="4">
        <v>2.5</v>
      </c>
      <c r="P106" s="4">
        <v>60000</v>
      </c>
    </row>
    <row r="107" spans="15:16" x14ac:dyDescent="0.3">
      <c r="O107" s="4">
        <v>3</v>
      </c>
      <c r="P107" s="4">
        <v>10001</v>
      </c>
    </row>
    <row r="108" spans="15:16" x14ac:dyDescent="0.3">
      <c r="O108" s="4">
        <v>3</v>
      </c>
      <c r="P108" s="4">
        <v>10001</v>
      </c>
    </row>
    <row r="109" spans="15:16" x14ac:dyDescent="0.3">
      <c r="O109" s="4">
        <v>3</v>
      </c>
      <c r="P109" s="4">
        <v>10164</v>
      </c>
    </row>
    <row r="110" spans="15:16" x14ac:dyDescent="0.3">
      <c r="O110" s="4">
        <v>3</v>
      </c>
      <c r="P110" s="4">
        <v>17500</v>
      </c>
    </row>
    <row r="111" spans="15:16" x14ac:dyDescent="0.3">
      <c r="O111" s="4">
        <v>3</v>
      </c>
      <c r="P111" s="4">
        <v>21120</v>
      </c>
    </row>
    <row r="112" spans="15:16" x14ac:dyDescent="0.3">
      <c r="O112" s="4">
        <v>3</v>
      </c>
      <c r="P112" s="4">
        <v>23000</v>
      </c>
    </row>
    <row r="113" spans="15:16" x14ac:dyDescent="0.3">
      <c r="O113" s="4">
        <v>3</v>
      </c>
      <c r="P113" s="4">
        <v>27000</v>
      </c>
    </row>
    <row r="114" spans="15:16" x14ac:dyDescent="0.3">
      <c r="O114" s="3">
        <v>3</v>
      </c>
      <c r="P114" s="3">
        <v>29000</v>
      </c>
    </row>
    <row r="115" spans="15:16" x14ac:dyDescent="0.3">
      <c r="O115" s="3">
        <v>3</v>
      </c>
      <c r="P115" s="3">
        <v>30000</v>
      </c>
    </row>
    <row r="116" spans="15:16" x14ac:dyDescent="0.3">
      <c r="O116" s="4">
        <v>3</v>
      </c>
      <c r="P116" s="4">
        <v>30000</v>
      </c>
    </row>
    <row r="117" spans="15:16" x14ac:dyDescent="0.3">
      <c r="O117" s="3">
        <v>3</v>
      </c>
      <c r="P117" s="3">
        <v>30000</v>
      </c>
    </row>
    <row r="118" spans="15:16" x14ac:dyDescent="0.3">
      <c r="O118" s="3">
        <v>3</v>
      </c>
      <c r="P118" s="3">
        <v>32000</v>
      </c>
    </row>
    <row r="119" spans="15:16" x14ac:dyDescent="0.3">
      <c r="O119" s="3">
        <v>3</v>
      </c>
      <c r="P119" s="3">
        <v>37000</v>
      </c>
    </row>
    <row r="120" spans="15:16" x14ac:dyDescent="0.3">
      <c r="O120" s="3">
        <v>3</v>
      </c>
      <c r="P120" s="3">
        <v>42000</v>
      </c>
    </row>
    <row r="121" spans="15:16" x14ac:dyDescent="0.3">
      <c r="O121" s="4">
        <v>3</v>
      </c>
      <c r="P121" s="4">
        <v>43000</v>
      </c>
    </row>
    <row r="122" spans="15:16" x14ac:dyDescent="0.3">
      <c r="O122" s="3">
        <v>3</v>
      </c>
      <c r="P122" s="3">
        <v>44000</v>
      </c>
    </row>
    <row r="123" spans="15:16" x14ac:dyDescent="0.3">
      <c r="O123" s="4">
        <v>3</v>
      </c>
      <c r="P123" s="4">
        <v>45000</v>
      </c>
    </row>
    <row r="124" spans="15:16" x14ac:dyDescent="0.3">
      <c r="O124" s="4">
        <v>3</v>
      </c>
      <c r="P124" s="4">
        <v>48000</v>
      </c>
    </row>
    <row r="125" spans="15:16" x14ac:dyDescent="0.3">
      <c r="O125" s="3">
        <v>3</v>
      </c>
      <c r="P125" s="3">
        <v>48000</v>
      </c>
    </row>
    <row r="126" spans="15:16" x14ac:dyDescent="0.3">
      <c r="O126" s="3">
        <v>3</v>
      </c>
      <c r="P126" s="3">
        <v>48000</v>
      </c>
    </row>
    <row r="127" spans="15:16" x14ac:dyDescent="0.3">
      <c r="O127" s="4">
        <v>3</v>
      </c>
      <c r="P127" s="4">
        <v>48000</v>
      </c>
    </row>
    <row r="128" spans="15:16" x14ac:dyDescent="0.3">
      <c r="O128" s="3">
        <v>3</v>
      </c>
      <c r="P128" s="3">
        <v>48000</v>
      </c>
    </row>
    <row r="129" spans="15:16" x14ac:dyDescent="0.3">
      <c r="O129" s="3">
        <v>3</v>
      </c>
      <c r="P129" s="3">
        <v>49200</v>
      </c>
    </row>
    <row r="130" spans="15:16" x14ac:dyDescent="0.3">
      <c r="O130" s="4">
        <v>3</v>
      </c>
      <c r="P130" s="4">
        <v>50000</v>
      </c>
    </row>
    <row r="131" spans="15:16" x14ac:dyDescent="0.3">
      <c r="O131" s="3">
        <v>3</v>
      </c>
      <c r="P131" s="3">
        <v>51000</v>
      </c>
    </row>
    <row r="132" spans="15:16" x14ac:dyDescent="0.3">
      <c r="O132" s="3">
        <v>3</v>
      </c>
      <c r="P132" s="3">
        <v>52000</v>
      </c>
    </row>
    <row r="133" spans="15:16" x14ac:dyDescent="0.3">
      <c r="O133" s="4">
        <v>3</v>
      </c>
      <c r="P133" s="4">
        <v>53000</v>
      </c>
    </row>
    <row r="134" spans="15:16" x14ac:dyDescent="0.3">
      <c r="O134" s="4">
        <v>3</v>
      </c>
      <c r="P134" s="4">
        <v>53000</v>
      </c>
    </row>
    <row r="135" spans="15:16" x14ac:dyDescent="0.3">
      <c r="O135" s="3">
        <v>3</v>
      </c>
      <c r="P135" s="3">
        <v>54000</v>
      </c>
    </row>
    <row r="136" spans="15:16" x14ac:dyDescent="0.3">
      <c r="O136" s="3">
        <v>3</v>
      </c>
      <c r="P136" s="3">
        <v>54500</v>
      </c>
    </row>
    <row r="137" spans="15:16" x14ac:dyDescent="0.3">
      <c r="O137" s="4">
        <v>3</v>
      </c>
      <c r="P137" s="4">
        <v>55000</v>
      </c>
    </row>
    <row r="138" spans="15:16" x14ac:dyDescent="0.3">
      <c r="O138" s="3">
        <v>3</v>
      </c>
      <c r="P138" s="3">
        <v>55000</v>
      </c>
    </row>
    <row r="139" spans="15:16" x14ac:dyDescent="0.3">
      <c r="O139" s="4">
        <v>3</v>
      </c>
      <c r="P139" s="4">
        <v>55000</v>
      </c>
    </row>
    <row r="140" spans="15:16" x14ac:dyDescent="0.3">
      <c r="O140" s="3">
        <v>3</v>
      </c>
      <c r="P140" s="3">
        <v>57000</v>
      </c>
    </row>
    <row r="141" spans="15:16" x14ac:dyDescent="0.3">
      <c r="O141" s="3">
        <v>3</v>
      </c>
      <c r="P141" s="3">
        <v>57600</v>
      </c>
    </row>
    <row r="142" spans="15:16" x14ac:dyDescent="0.3">
      <c r="O142" s="4">
        <v>3</v>
      </c>
      <c r="P142" s="4">
        <v>58000</v>
      </c>
    </row>
    <row r="143" spans="15:16" x14ac:dyDescent="0.3">
      <c r="O143" s="4">
        <v>3</v>
      </c>
      <c r="P143" s="4">
        <v>58000</v>
      </c>
    </row>
    <row r="144" spans="15:16" x14ac:dyDescent="0.3">
      <c r="O144" s="3">
        <v>3</v>
      </c>
      <c r="P144" s="3">
        <v>58000</v>
      </c>
    </row>
    <row r="145" spans="15:16" x14ac:dyDescent="0.3">
      <c r="O145" s="4">
        <v>3</v>
      </c>
      <c r="P145" s="4">
        <v>58000</v>
      </c>
    </row>
    <row r="146" spans="15:16" x14ac:dyDescent="0.3">
      <c r="O146" s="4">
        <v>3</v>
      </c>
      <c r="P146" s="4">
        <v>60000</v>
      </c>
    </row>
    <row r="147" spans="15:16" x14ac:dyDescent="0.3">
      <c r="O147" s="4">
        <v>3</v>
      </c>
      <c r="P147" s="4">
        <v>60000</v>
      </c>
    </row>
    <row r="148" spans="15:16" x14ac:dyDescent="0.3">
      <c r="O148" s="4">
        <v>3</v>
      </c>
      <c r="P148" s="4">
        <v>60000</v>
      </c>
    </row>
    <row r="149" spans="15:16" x14ac:dyDescent="0.3">
      <c r="O149" s="3">
        <v>3</v>
      </c>
      <c r="P149" s="3">
        <v>62000</v>
      </c>
    </row>
    <row r="150" spans="15:16" x14ac:dyDescent="0.3">
      <c r="O150" s="3">
        <v>3</v>
      </c>
      <c r="P150" s="3">
        <v>62000</v>
      </c>
    </row>
    <row r="151" spans="15:16" x14ac:dyDescent="0.3">
      <c r="O151" s="4">
        <v>3</v>
      </c>
      <c r="P151" s="4">
        <v>62000</v>
      </c>
    </row>
    <row r="152" spans="15:16" x14ac:dyDescent="0.3">
      <c r="O152" s="3">
        <v>3</v>
      </c>
      <c r="P152" s="3">
        <v>63000</v>
      </c>
    </row>
    <row r="153" spans="15:16" x14ac:dyDescent="0.3">
      <c r="O153" s="4">
        <v>3</v>
      </c>
      <c r="P153" s="4">
        <v>65000</v>
      </c>
    </row>
    <row r="154" spans="15:16" x14ac:dyDescent="0.3">
      <c r="O154" s="3">
        <v>3</v>
      </c>
      <c r="P154" s="3">
        <v>65000</v>
      </c>
    </row>
    <row r="155" spans="15:16" x14ac:dyDescent="0.3">
      <c r="O155" s="4">
        <v>3</v>
      </c>
      <c r="P155" s="4">
        <v>65000</v>
      </c>
    </row>
    <row r="156" spans="15:16" x14ac:dyDescent="0.3">
      <c r="O156" s="3">
        <v>3</v>
      </c>
      <c r="P156" s="3">
        <v>65000</v>
      </c>
    </row>
    <row r="157" spans="15:16" x14ac:dyDescent="0.3">
      <c r="O157" s="3">
        <v>3</v>
      </c>
      <c r="P157" s="3">
        <v>65000</v>
      </c>
    </row>
    <row r="158" spans="15:16" x14ac:dyDescent="0.3">
      <c r="O158" s="3">
        <v>3</v>
      </c>
      <c r="P158" s="3">
        <v>65000</v>
      </c>
    </row>
    <row r="159" spans="15:16" x14ac:dyDescent="0.3">
      <c r="O159" s="4">
        <v>3</v>
      </c>
      <c r="P159" s="4">
        <v>65000</v>
      </c>
    </row>
    <row r="160" spans="15:16" x14ac:dyDescent="0.3">
      <c r="O160" s="3">
        <v>3</v>
      </c>
      <c r="P160" s="3">
        <v>65000</v>
      </c>
    </row>
    <row r="161" spans="15:16" x14ac:dyDescent="0.3">
      <c r="O161" s="4">
        <v>3</v>
      </c>
      <c r="P161" s="4">
        <v>67000</v>
      </c>
    </row>
    <row r="162" spans="15:16" x14ac:dyDescent="0.3">
      <c r="O162" s="4">
        <v>3</v>
      </c>
      <c r="P162" s="4">
        <v>68000</v>
      </c>
    </row>
    <row r="163" spans="15:16" x14ac:dyDescent="0.3">
      <c r="O163" s="3">
        <v>3</v>
      </c>
      <c r="P163" s="3">
        <v>70000</v>
      </c>
    </row>
    <row r="164" spans="15:16" x14ac:dyDescent="0.3">
      <c r="O164" s="4">
        <v>3</v>
      </c>
      <c r="P164" s="4">
        <v>70000</v>
      </c>
    </row>
    <row r="165" spans="15:16" x14ac:dyDescent="0.3">
      <c r="O165" s="3">
        <v>3</v>
      </c>
      <c r="P165" s="3">
        <v>70000</v>
      </c>
    </row>
    <row r="166" spans="15:16" x14ac:dyDescent="0.3">
      <c r="O166" s="3">
        <v>3</v>
      </c>
      <c r="P166" s="3">
        <v>70000</v>
      </c>
    </row>
    <row r="167" spans="15:16" x14ac:dyDescent="0.3">
      <c r="O167" s="3">
        <v>3</v>
      </c>
      <c r="P167" s="3">
        <v>77000</v>
      </c>
    </row>
    <row r="168" spans="15:16" x14ac:dyDescent="0.3">
      <c r="O168" s="3">
        <v>3</v>
      </c>
      <c r="P168" s="3">
        <v>77000</v>
      </c>
    </row>
    <row r="169" spans="15:16" x14ac:dyDescent="0.3">
      <c r="O169" s="4">
        <v>3</v>
      </c>
      <c r="P169" s="4">
        <v>77600</v>
      </c>
    </row>
    <row r="170" spans="15:16" x14ac:dyDescent="0.3">
      <c r="O170" s="3">
        <v>3</v>
      </c>
      <c r="P170" s="3">
        <v>80000</v>
      </c>
    </row>
    <row r="171" spans="15:16" x14ac:dyDescent="0.3">
      <c r="O171" s="4">
        <v>3</v>
      </c>
      <c r="P171" s="4">
        <v>90000</v>
      </c>
    </row>
    <row r="172" spans="15:16" x14ac:dyDescent="0.3">
      <c r="O172" s="3">
        <v>3</v>
      </c>
      <c r="P172" s="3">
        <v>100000</v>
      </c>
    </row>
    <row r="173" spans="15:16" x14ac:dyDescent="0.3">
      <c r="O173" s="4">
        <v>3.5</v>
      </c>
      <c r="P173" s="4">
        <v>55000</v>
      </c>
    </row>
    <row r="174" spans="15:16" x14ac:dyDescent="0.3">
      <c r="O174" s="4">
        <v>3.5</v>
      </c>
      <c r="P174" s="4">
        <v>70000</v>
      </c>
    </row>
    <row r="175" spans="15:16" x14ac:dyDescent="0.3">
      <c r="O175" s="3">
        <v>4</v>
      </c>
      <c r="P175" s="3">
        <v>21000</v>
      </c>
    </row>
    <row r="176" spans="15:16" x14ac:dyDescent="0.3">
      <c r="O176" s="3">
        <v>4</v>
      </c>
      <c r="P176" s="3">
        <v>24000</v>
      </c>
    </row>
    <row r="177" spans="15:16" x14ac:dyDescent="0.3">
      <c r="O177" s="3">
        <v>4</v>
      </c>
      <c r="P177" s="3">
        <v>28000</v>
      </c>
    </row>
    <row r="178" spans="15:16" x14ac:dyDescent="0.3">
      <c r="O178" s="3">
        <v>4</v>
      </c>
      <c r="P178" s="3">
        <v>30000</v>
      </c>
    </row>
    <row r="179" spans="15:16" x14ac:dyDescent="0.3">
      <c r="O179" s="3">
        <v>4</v>
      </c>
      <c r="P179" s="3">
        <v>34000</v>
      </c>
    </row>
    <row r="180" spans="15:16" x14ac:dyDescent="0.3">
      <c r="O180" s="4">
        <v>4</v>
      </c>
      <c r="P180" s="4">
        <v>37500</v>
      </c>
    </row>
    <row r="181" spans="15:16" x14ac:dyDescent="0.3">
      <c r="O181" s="3">
        <v>4</v>
      </c>
      <c r="P181" s="3">
        <v>37500</v>
      </c>
    </row>
    <row r="182" spans="15:16" x14ac:dyDescent="0.3">
      <c r="O182" s="4">
        <v>4</v>
      </c>
      <c r="P182" s="4">
        <v>39000</v>
      </c>
    </row>
    <row r="183" spans="15:16" x14ac:dyDescent="0.3">
      <c r="O183" s="4">
        <v>4</v>
      </c>
      <c r="P183" s="4">
        <v>40000</v>
      </c>
    </row>
    <row r="184" spans="15:16" x14ac:dyDescent="0.3">
      <c r="O184" s="4">
        <v>4</v>
      </c>
      <c r="P184" s="4">
        <v>42000</v>
      </c>
    </row>
    <row r="185" spans="15:16" x14ac:dyDescent="0.3">
      <c r="O185" s="3">
        <v>4</v>
      </c>
      <c r="P185" s="3">
        <v>42000</v>
      </c>
    </row>
    <row r="186" spans="15:16" x14ac:dyDescent="0.3">
      <c r="O186" s="4">
        <v>4</v>
      </c>
      <c r="P186" s="4">
        <v>43000</v>
      </c>
    </row>
    <row r="187" spans="15:16" x14ac:dyDescent="0.3">
      <c r="O187" s="4">
        <v>4</v>
      </c>
      <c r="P187" s="4">
        <v>44000</v>
      </c>
    </row>
    <row r="188" spans="15:16" x14ac:dyDescent="0.3">
      <c r="O188" s="3">
        <v>4</v>
      </c>
      <c r="P188" s="3">
        <v>45000</v>
      </c>
    </row>
    <row r="189" spans="15:16" x14ac:dyDescent="0.3">
      <c r="O189" s="4">
        <v>4</v>
      </c>
      <c r="P189" s="4">
        <v>45000</v>
      </c>
    </row>
    <row r="190" spans="15:16" x14ac:dyDescent="0.3">
      <c r="O190" s="3">
        <v>4</v>
      </c>
      <c r="P190" s="3">
        <v>45000</v>
      </c>
    </row>
    <row r="191" spans="15:16" x14ac:dyDescent="0.3">
      <c r="O191" s="3">
        <v>4</v>
      </c>
      <c r="P191" s="3">
        <v>46000</v>
      </c>
    </row>
    <row r="192" spans="15:16" x14ac:dyDescent="0.3">
      <c r="O192" s="3">
        <v>4</v>
      </c>
      <c r="P192" s="3">
        <v>46000</v>
      </c>
    </row>
    <row r="193" spans="15:16" x14ac:dyDescent="0.3">
      <c r="O193" s="3">
        <v>4</v>
      </c>
      <c r="P193" s="3">
        <v>50000</v>
      </c>
    </row>
    <row r="194" spans="15:16" x14ac:dyDescent="0.3">
      <c r="O194" s="4">
        <v>4</v>
      </c>
      <c r="P194" s="4">
        <v>50000</v>
      </c>
    </row>
    <row r="195" spans="15:16" x14ac:dyDescent="0.3">
      <c r="O195" s="3">
        <v>4</v>
      </c>
      <c r="P195" s="3">
        <v>50000</v>
      </c>
    </row>
    <row r="196" spans="15:16" x14ac:dyDescent="0.3">
      <c r="O196" s="4">
        <v>4</v>
      </c>
      <c r="P196" s="4">
        <v>50000</v>
      </c>
    </row>
    <row r="197" spans="15:16" x14ac:dyDescent="0.3">
      <c r="O197" s="3">
        <v>4</v>
      </c>
      <c r="P197" s="3">
        <v>50500</v>
      </c>
    </row>
    <row r="198" spans="15:16" x14ac:dyDescent="0.3">
      <c r="O198" s="3">
        <v>4</v>
      </c>
      <c r="P198" s="3">
        <v>51000</v>
      </c>
    </row>
    <row r="199" spans="15:16" x14ac:dyDescent="0.3">
      <c r="O199" s="3">
        <v>4</v>
      </c>
      <c r="P199" s="3">
        <v>51000</v>
      </c>
    </row>
    <row r="200" spans="15:16" x14ac:dyDescent="0.3">
      <c r="O200" s="3">
        <v>4</v>
      </c>
      <c r="P200" s="3">
        <v>52000</v>
      </c>
    </row>
    <row r="201" spans="15:16" x14ac:dyDescent="0.3">
      <c r="O201" s="3">
        <v>4</v>
      </c>
      <c r="P201" s="3">
        <v>53000</v>
      </c>
    </row>
    <row r="202" spans="15:16" x14ac:dyDescent="0.3">
      <c r="O202" s="3">
        <v>4</v>
      </c>
      <c r="P202" s="3">
        <v>54000</v>
      </c>
    </row>
    <row r="203" spans="15:16" x14ac:dyDescent="0.3">
      <c r="O203" s="4">
        <v>4</v>
      </c>
      <c r="P203" s="4">
        <v>54000</v>
      </c>
    </row>
    <row r="204" spans="15:16" x14ac:dyDescent="0.3">
      <c r="O204" s="4">
        <v>4</v>
      </c>
      <c r="P204" s="4">
        <v>54179.13</v>
      </c>
    </row>
    <row r="205" spans="15:16" x14ac:dyDescent="0.3">
      <c r="O205" s="4">
        <v>4</v>
      </c>
      <c r="P205" s="4">
        <v>55000</v>
      </c>
    </row>
    <row r="206" spans="15:16" x14ac:dyDescent="0.3">
      <c r="O206" s="4">
        <v>4</v>
      </c>
      <c r="P206" s="4">
        <v>55000</v>
      </c>
    </row>
    <row r="207" spans="15:16" x14ac:dyDescent="0.3">
      <c r="O207" s="4">
        <v>4</v>
      </c>
      <c r="P207" s="4">
        <v>55000</v>
      </c>
    </row>
    <row r="208" spans="15:16" x14ac:dyDescent="0.3">
      <c r="O208" s="4">
        <v>4</v>
      </c>
      <c r="P208" s="4">
        <v>55000</v>
      </c>
    </row>
    <row r="209" spans="15:16" x14ac:dyDescent="0.3">
      <c r="O209" s="3">
        <v>4</v>
      </c>
      <c r="P209" s="3">
        <v>55500</v>
      </c>
    </row>
    <row r="210" spans="15:16" x14ac:dyDescent="0.3">
      <c r="O210" s="3">
        <v>4</v>
      </c>
      <c r="P210" s="3">
        <v>56000</v>
      </c>
    </row>
    <row r="211" spans="15:16" x14ac:dyDescent="0.3">
      <c r="O211" s="4">
        <v>4</v>
      </c>
      <c r="P211" s="4">
        <v>56000</v>
      </c>
    </row>
    <row r="212" spans="15:16" x14ac:dyDescent="0.3">
      <c r="O212" s="3">
        <v>4</v>
      </c>
      <c r="P212" s="3">
        <v>57000</v>
      </c>
    </row>
    <row r="213" spans="15:16" x14ac:dyDescent="0.3">
      <c r="O213" s="4">
        <v>4</v>
      </c>
      <c r="P213" s="4">
        <v>58000</v>
      </c>
    </row>
    <row r="214" spans="15:16" x14ac:dyDescent="0.3">
      <c r="O214" s="4">
        <v>4</v>
      </c>
      <c r="P214" s="4">
        <v>60000</v>
      </c>
    </row>
    <row r="215" spans="15:16" x14ac:dyDescent="0.3">
      <c r="O215" s="4">
        <v>4</v>
      </c>
      <c r="P215" s="4">
        <v>60000</v>
      </c>
    </row>
    <row r="216" spans="15:16" x14ac:dyDescent="0.3">
      <c r="O216" s="4">
        <v>4</v>
      </c>
      <c r="P216" s="4">
        <v>60000</v>
      </c>
    </row>
    <row r="217" spans="15:16" x14ac:dyDescent="0.3">
      <c r="O217" s="4">
        <v>4</v>
      </c>
      <c r="P217" s="4">
        <v>60000</v>
      </c>
    </row>
    <row r="218" spans="15:16" x14ac:dyDescent="0.3">
      <c r="O218" s="4">
        <v>4</v>
      </c>
      <c r="P218" s="4">
        <v>60000</v>
      </c>
    </row>
    <row r="219" spans="15:16" x14ac:dyDescent="0.3">
      <c r="O219" s="4">
        <v>4</v>
      </c>
      <c r="P219" s="4">
        <v>60000</v>
      </c>
    </row>
    <row r="220" spans="15:16" x14ac:dyDescent="0.3">
      <c r="O220" s="4">
        <v>4</v>
      </c>
      <c r="P220" s="4">
        <v>60000</v>
      </c>
    </row>
    <row r="221" spans="15:16" x14ac:dyDescent="0.3">
      <c r="O221" s="4">
        <v>4</v>
      </c>
      <c r="P221" s="4">
        <v>60000</v>
      </c>
    </row>
    <row r="222" spans="15:16" x14ac:dyDescent="0.3">
      <c r="O222" s="4">
        <v>4</v>
      </c>
      <c r="P222" s="4">
        <v>61500</v>
      </c>
    </row>
    <row r="223" spans="15:16" x14ac:dyDescent="0.3">
      <c r="O223" s="3">
        <v>4</v>
      </c>
      <c r="P223" s="3">
        <v>62000</v>
      </c>
    </row>
    <row r="224" spans="15:16" x14ac:dyDescent="0.3">
      <c r="O224" s="3">
        <v>4</v>
      </c>
      <c r="P224" s="3">
        <v>62000</v>
      </c>
    </row>
    <row r="225" spans="15:16" x14ac:dyDescent="0.3">
      <c r="O225" s="4">
        <v>4</v>
      </c>
      <c r="P225" s="4">
        <v>63000</v>
      </c>
    </row>
    <row r="226" spans="15:16" x14ac:dyDescent="0.3">
      <c r="O226" s="4">
        <v>4</v>
      </c>
      <c r="P226" s="4">
        <v>64000</v>
      </c>
    </row>
    <row r="227" spans="15:16" x14ac:dyDescent="0.3">
      <c r="O227" s="4">
        <v>4</v>
      </c>
      <c r="P227" s="4">
        <v>65000</v>
      </c>
    </row>
    <row r="228" spans="15:16" x14ac:dyDescent="0.3">
      <c r="O228" s="4">
        <v>4</v>
      </c>
      <c r="P228" s="4">
        <v>65000</v>
      </c>
    </row>
    <row r="229" spans="15:16" x14ac:dyDescent="0.3">
      <c r="O229" s="4">
        <v>4</v>
      </c>
      <c r="P229" s="4">
        <v>65000</v>
      </c>
    </row>
    <row r="230" spans="15:16" x14ac:dyDescent="0.3">
      <c r="O230" s="3">
        <v>4</v>
      </c>
      <c r="P230" s="3">
        <v>65000</v>
      </c>
    </row>
    <row r="231" spans="15:16" x14ac:dyDescent="0.3">
      <c r="O231" s="3">
        <v>4</v>
      </c>
      <c r="P231" s="3">
        <v>65000</v>
      </c>
    </row>
    <row r="232" spans="15:16" x14ac:dyDescent="0.3">
      <c r="O232" s="4">
        <v>4</v>
      </c>
      <c r="P232" s="4">
        <v>65000</v>
      </c>
    </row>
    <row r="233" spans="15:16" x14ac:dyDescent="0.3">
      <c r="O233" s="3">
        <v>4</v>
      </c>
      <c r="P233" s="3">
        <v>65000</v>
      </c>
    </row>
    <row r="234" spans="15:16" x14ac:dyDescent="0.3">
      <c r="O234" s="3">
        <v>4</v>
      </c>
      <c r="P234" s="3">
        <v>65000</v>
      </c>
    </row>
    <row r="235" spans="15:16" x14ac:dyDescent="0.3">
      <c r="O235" s="4">
        <v>4</v>
      </c>
      <c r="P235" s="4">
        <v>66000</v>
      </c>
    </row>
    <row r="236" spans="15:16" x14ac:dyDescent="0.3">
      <c r="O236" s="3">
        <v>4</v>
      </c>
      <c r="P236" s="3">
        <v>66000</v>
      </c>
    </row>
    <row r="237" spans="15:16" x14ac:dyDescent="0.3">
      <c r="O237" s="3">
        <v>4</v>
      </c>
      <c r="P237" s="3">
        <v>67000</v>
      </c>
    </row>
    <row r="238" spans="15:16" x14ac:dyDescent="0.3">
      <c r="O238" s="3">
        <v>4</v>
      </c>
      <c r="P238" s="3">
        <v>67000</v>
      </c>
    </row>
    <row r="239" spans="15:16" x14ac:dyDescent="0.3">
      <c r="O239" s="3">
        <v>4</v>
      </c>
      <c r="P239" s="3">
        <v>68000</v>
      </c>
    </row>
    <row r="240" spans="15:16" x14ac:dyDescent="0.3">
      <c r="O240" s="3">
        <v>4</v>
      </c>
      <c r="P240" s="3">
        <v>69000</v>
      </c>
    </row>
    <row r="241" spans="15:16" x14ac:dyDescent="0.3">
      <c r="O241" s="4">
        <v>4</v>
      </c>
      <c r="P241" s="4">
        <v>70000</v>
      </c>
    </row>
    <row r="242" spans="15:16" x14ac:dyDescent="0.3">
      <c r="O242" s="4">
        <v>4</v>
      </c>
      <c r="P242" s="4">
        <v>70000</v>
      </c>
    </row>
    <row r="243" spans="15:16" x14ac:dyDescent="0.3">
      <c r="O243" s="3">
        <v>4</v>
      </c>
      <c r="P243" s="3">
        <v>70500</v>
      </c>
    </row>
    <row r="244" spans="15:16" x14ac:dyDescent="0.3">
      <c r="O244" s="3">
        <v>4</v>
      </c>
      <c r="P244" s="3">
        <v>73000</v>
      </c>
    </row>
    <row r="245" spans="15:16" x14ac:dyDescent="0.3">
      <c r="O245" s="4">
        <v>4</v>
      </c>
      <c r="P245" s="4">
        <v>73000</v>
      </c>
    </row>
    <row r="246" spans="15:16" x14ac:dyDescent="0.3">
      <c r="O246" s="3">
        <v>4</v>
      </c>
      <c r="P246" s="3">
        <v>73700</v>
      </c>
    </row>
    <row r="247" spans="15:16" x14ac:dyDescent="0.3">
      <c r="O247" s="4">
        <v>4</v>
      </c>
      <c r="P247" s="4">
        <v>75000</v>
      </c>
    </row>
    <row r="248" spans="15:16" x14ac:dyDescent="0.3">
      <c r="O248" s="4">
        <v>4</v>
      </c>
      <c r="P248" s="4">
        <v>78000</v>
      </c>
    </row>
    <row r="249" spans="15:16" x14ac:dyDescent="0.3">
      <c r="O249" s="3">
        <v>4</v>
      </c>
      <c r="P249" s="3">
        <v>81000</v>
      </c>
    </row>
    <row r="250" spans="15:16" x14ac:dyDescent="0.3">
      <c r="O250" s="4">
        <v>4</v>
      </c>
      <c r="P250" s="4">
        <v>82000</v>
      </c>
    </row>
    <row r="251" spans="15:16" x14ac:dyDescent="0.3">
      <c r="O251" s="4">
        <v>4</v>
      </c>
      <c r="P251" s="4">
        <v>85000</v>
      </c>
    </row>
    <row r="252" spans="15:16" x14ac:dyDescent="0.3">
      <c r="O252" s="4">
        <v>4</v>
      </c>
      <c r="P252" s="4">
        <v>95000</v>
      </c>
    </row>
    <row r="253" spans="15:16" x14ac:dyDescent="0.3">
      <c r="O253" s="3">
        <v>4</v>
      </c>
      <c r="P253" s="3">
        <v>100000</v>
      </c>
    </row>
    <row r="254" spans="15:16" x14ac:dyDescent="0.3">
      <c r="O254" s="3">
        <v>4</v>
      </c>
      <c r="P254" s="3">
        <v>105000</v>
      </c>
    </row>
    <row r="255" spans="15:16" x14ac:dyDescent="0.3">
      <c r="O255" s="3">
        <v>4.5</v>
      </c>
      <c r="P255" s="3">
        <v>60000</v>
      </c>
    </row>
    <row r="256" spans="15:16" x14ac:dyDescent="0.3">
      <c r="O256" s="3">
        <v>4.5</v>
      </c>
      <c r="P256" s="3">
        <v>75000</v>
      </c>
    </row>
    <row r="257" spans="15:16" x14ac:dyDescent="0.3">
      <c r="O257" s="3">
        <v>5</v>
      </c>
      <c r="P257" s="3">
        <v>14712</v>
      </c>
    </row>
    <row r="258" spans="15:16" x14ac:dyDescent="0.3">
      <c r="O258" s="4">
        <v>5</v>
      </c>
      <c r="P258" s="4">
        <v>20000</v>
      </c>
    </row>
    <row r="259" spans="15:16" x14ac:dyDescent="0.3">
      <c r="O259" s="3">
        <v>5</v>
      </c>
      <c r="P259" s="3">
        <v>20000</v>
      </c>
    </row>
    <row r="260" spans="15:16" x14ac:dyDescent="0.3">
      <c r="O260" s="3">
        <v>5</v>
      </c>
      <c r="P260" s="3">
        <v>35000</v>
      </c>
    </row>
    <row r="261" spans="15:16" x14ac:dyDescent="0.3">
      <c r="O261" s="4">
        <v>5</v>
      </c>
      <c r="P261" s="4">
        <v>40000</v>
      </c>
    </row>
    <row r="262" spans="15:16" x14ac:dyDescent="0.3">
      <c r="O262" s="4">
        <v>5</v>
      </c>
      <c r="P262" s="4">
        <v>45000</v>
      </c>
    </row>
    <row r="263" spans="15:16" x14ac:dyDescent="0.3">
      <c r="O263" s="4">
        <v>5</v>
      </c>
      <c r="P263" s="4">
        <v>45000</v>
      </c>
    </row>
    <row r="264" spans="15:16" x14ac:dyDescent="0.3">
      <c r="O264" s="4">
        <v>5</v>
      </c>
      <c r="P264" s="4">
        <v>45600</v>
      </c>
    </row>
    <row r="265" spans="15:16" x14ac:dyDescent="0.3">
      <c r="O265" s="3">
        <v>5</v>
      </c>
      <c r="P265" s="3">
        <v>46000</v>
      </c>
    </row>
    <row r="266" spans="15:16" x14ac:dyDescent="0.3">
      <c r="O266" s="3">
        <v>5</v>
      </c>
      <c r="P266" s="3">
        <v>48000</v>
      </c>
    </row>
    <row r="267" spans="15:16" x14ac:dyDescent="0.3">
      <c r="O267" s="4">
        <v>5</v>
      </c>
      <c r="P267" s="4">
        <v>49000</v>
      </c>
    </row>
    <row r="268" spans="15:16" x14ac:dyDescent="0.3">
      <c r="O268" s="3">
        <v>5</v>
      </c>
      <c r="P268" s="3">
        <v>50000</v>
      </c>
    </row>
    <row r="269" spans="15:16" x14ac:dyDescent="0.3">
      <c r="O269" s="3">
        <v>5</v>
      </c>
      <c r="P269" s="3">
        <v>50000</v>
      </c>
    </row>
    <row r="270" spans="15:16" x14ac:dyDescent="0.3">
      <c r="O270" s="3">
        <v>5</v>
      </c>
      <c r="P270" s="3">
        <v>50000</v>
      </c>
    </row>
    <row r="271" spans="15:16" x14ac:dyDescent="0.3">
      <c r="O271" s="4">
        <v>5</v>
      </c>
      <c r="P271" s="4">
        <v>50000</v>
      </c>
    </row>
    <row r="272" spans="15:16" x14ac:dyDescent="0.3">
      <c r="O272" s="4">
        <v>5</v>
      </c>
      <c r="P272" s="4">
        <v>50400</v>
      </c>
    </row>
    <row r="273" spans="15:16" x14ac:dyDescent="0.3">
      <c r="O273" s="3">
        <v>5</v>
      </c>
      <c r="P273" s="3">
        <v>51000</v>
      </c>
    </row>
    <row r="274" spans="15:16" x14ac:dyDescent="0.3">
      <c r="O274" s="4">
        <v>5</v>
      </c>
      <c r="P274" s="4">
        <v>52500</v>
      </c>
    </row>
    <row r="275" spans="15:16" x14ac:dyDescent="0.3">
      <c r="O275" s="4">
        <v>5</v>
      </c>
      <c r="P275" s="4">
        <v>53000</v>
      </c>
    </row>
    <row r="276" spans="15:16" x14ac:dyDescent="0.3">
      <c r="O276" s="4">
        <v>5</v>
      </c>
      <c r="P276" s="4">
        <v>53500</v>
      </c>
    </row>
    <row r="277" spans="15:16" x14ac:dyDescent="0.3">
      <c r="O277" s="4">
        <v>5</v>
      </c>
      <c r="P277" s="4">
        <v>54000</v>
      </c>
    </row>
    <row r="278" spans="15:16" x14ac:dyDescent="0.3">
      <c r="O278" s="4">
        <v>5</v>
      </c>
      <c r="P278" s="4">
        <v>54000</v>
      </c>
    </row>
    <row r="279" spans="15:16" x14ac:dyDescent="0.3">
      <c r="O279" s="4">
        <v>5</v>
      </c>
      <c r="P279" s="4">
        <v>54000</v>
      </c>
    </row>
    <row r="280" spans="15:16" x14ac:dyDescent="0.3">
      <c r="O280" s="4">
        <v>5</v>
      </c>
      <c r="P280" s="4">
        <v>55000</v>
      </c>
    </row>
    <row r="281" spans="15:16" x14ac:dyDescent="0.3">
      <c r="O281" s="4">
        <v>5</v>
      </c>
      <c r="P281" s="4">
        <v>55000</v>
      </c>
    </row>
    <row r="282" spans="15:16" x14ac:dyDescent="0.3">
      <c r="O282" s="3">
        <v>5</v>
      </c>
      <c r="P282" s="3">
        <v>55000</v>
      </c>
    </row>
    <row r="283" spans="15:16" x14ac:dyDescent="0.3">
      <c r="O283" s="3">
        <v>5</v>
      </c>
      <c r="P283" s="3">
        <v>55000</v>
      </c>
    </row>
    <row r="284" spans="15:16" x14ac:dyDescent="0.3">
      <c r="O284" s="4">
        <v>5</v>
      </c>
      <c r="P284" s="4">
        <v>55000</v>
      </c>
    </row>
    <row r="285" spans="15:16" x14ac:dyDescent="0.3">
      <c r="O285" s="3">
        <v>5</v>
      </c>
      <c r="P285" s="3">
        <v>55000</v>
      </c>
    </row>
    <row r="286" spans="15:16" x14ac:dyDescent="0.3">
      <c r="O286" s="3">
        <v>5</v>
      </c>
      <c r="P286" s="3">
        <v>55000</v>
      </c>
    </row>
    <row r="287" spans="15:16" x14ac:dyDescent="0.3">
      <c r="O287" s="3">
        <v>5</v>
      </c>
      <c r="P287" s="3">
        <v>55000</v>
      </c>
    </row>
    <row r="288" spans="15:16" x14ac:dyDescent="0.3">
      <c r="O288" s="4">
        <v>5</v>
      </c>
      <c r="P288" s="4">
        <v>55000</v>
      </c>
    </row>
    <row r="289" spans="15:16" x14ac:dyDescent="0.3">
      <c r="O289" s="4">
        <v>5</v>
      </c>
      <c r="P289" s="4">
        <v>56000</v>
      </c>
    </row>
    <row r="290" spans="15:16" x14ac:dyDescent="0.3">
      <c r="O290" s="4">
        <v>5</v>
      </c>
      <c r="P290" s="4">
        <v>56000</v>
      </c>
    </row>
    <row r="291" spans="15:16" x14ac:dyDescent="0.3">
      <c r="O291" s="4">
        <v>5</v>
      </c>
      <c r="P291" s="4">
        <v>56000</v>
      </c>
    </row>
    <row r="292" spans="15:16" x14ac:dyDescent="0.3">
      <c r="O292" s="4">
        <v>5</v>
      </c>
      <c r="P292" s="4">
        <v>56000</v>
      </c>
    </row>
    <row r="293" spans="15:16" x14ac:dyDescent="0.3">
      <c r="O293" s="4">
        <v>5</v>
      </c>
      <c r="P293" s="4">
        <v>56700</v>
      </c>
    </row>
    <row r="294" spans="15:16" x14ac:dyDescent="0.3">
      <c r="O294" s="3">
        <v>5</v>
      </c>
      <c r="P294" s="3">
        <v>57000</v>
      </c>
    </row>
    <row r="295" spans="15:16" x14ac:dyDescent="0.3">
      <c r="O295" s="4">
        <v>5</v>
      </c>
      <c r="P295" s="4">
        <v>57000</v>
      </c>
    </row>
    <row r="296" spans="15:16" x14ac:dyDescent="0.3">
      <c r="O296" s="4">
        <v>5</v>
      </c>
      <c r="P296" s="4">
        <v>57000</v>
      </c>
    </row>
    <row r="297" spans="15:16" x14ac:dyDescent="0.3">
      <c r="O297" s="4">
        <v>5</v>
      </c>
      <c r="P297" s="4">
        <v>57750</v>
      </c>
    </row>
    <row r="298" spans="15:16" x14ac:dyDescent="0.3">
      <c r="O298" s="3">
        <v>5</v>
      </c>
      <c r="P298" s="3">
        <v>58000</v>
      </c>
    </row>
    <row r="299" spans="15:16" x14ac:dyDescent="0.3">
      <c r="O299" s="3">
        <v>5</v>
      </c>
      <c r="P299" s="3">
        <v>58000</v>
      </c>
    </row>
    <row r="300" spans="15:16" x14ac:dyDescent="0.3">
      <c r="O300" s="4">
        <v>5</v>
      </c>
      <c r="P300" s="4">
        <v>59000</v>
      </c>
    </row>
    <row r="301" spans="15:16" x14ac:dyDescent="0.3">
      <c r="O301" s="3">
        <v>5</v>
      </c>
      <c r="P301" s="3">
        <v>59064</v>
      </c>
    </row>
    <row r="302" spans="15:16" x14ac:dyDescent="0.3">
      <c r="O302" s="3">
        <v>5</v>
      </c>
      <c r="P302" s="3">
        <v>60000</v>
      </c>
    </row>
    <row r="303" spans="15:16" x14ac:dyDescent="0.3">
      <c r="O303" s="4">
        <v>5</v>
      </c>
      <c r="P303" s="4">
        <v>60000</v>
      </c>
    </row>
    <row r="304" spans="15:16" x14ac:dyDescent="0.3">
      <c r="O304" s="4">
        <v>5</v>
      </c>
      <c r="P304" s="4">
        <v>60000</v>
      </c>
    </row>
    <row r="305" spans="15:16" x14ac:dyDescent="0.3">
      <c r="O305" s="4">
        <v>5</v>
      </c>
      <c r="P305" s="4">
        <v>60000</v>
      </c>
    </row>
    <row r="306" spans="15:16" x14ac:dyDescent="0.3">
      <c r="O306" s="3">
        <v>5</v>
      </c>
      <c r="P306" s="3">
        <v>60000</v>
      </c>
    </row>
    <row r="307" spans="15:16" x14ac:dyDescent="0.3">
      <c r="O307" s="3">
        <v>5</v>
      </c>
      <c r="P307" s="3">
        <v>60000</v>
      </c>
    </row>
    <row r="308" spans="15:16" x14ac:dyDescent="0.3">
      <c r="O308" s="4">
        <v>5</v>
      </c>
      <c r="P308" s="4">
        <v>60000</v>
      </c>
    </row>
    <row r="309" spans="15:16" x14ac:dyDescent="0.3">
      <c r="O309" s="4">
        <v>5</v>
      </c>
      <c r="P309" s="4">
        <v>60000</v>
      </c>
    </row>
    <row r="310" spans="15:16" x14ac:dyDescent="0.3">
      <c r="O310" s="4">
        <v>5</v>
      </c>
      <c r="P310" s="4">
        <v>61000</v>
      </c>
    </row>
    <row r="311" spans="15:16" x14ac:dyDescent="0.3">
      <c r="O311" s="4">
        <v>5</v>
      </c>
      <c r="P311" s="4">
        <v>63000</v>
      </c>
    </row>
    <row r="312" spans="15:16" x14ac:dyDescent="0.3">
      <c r="O312" s="4">
        <v>5</v>
      </c>
      <c r="P312" s="4">
        <v>64000</v>
      </c>
    </row>
    <row r="313" spans="15:16" x14ac:dyDescent="0.3">
      <c r="O313" s="3">
        <v>5</v>
      </c>
      <c r="P313" s="3">
        <v>64000</v>
      </c>
    </row>
    <row r="314" spans="15:16" x14ac:dyDescent="0.3">
      <c r="O314" s="3">
        <v>5</v>
      </c>
      <c r="P314" s="3">
        <v>64000</v>
      </c>
    </row>
    <row r="315" spans="15:16" x14ac:dyDescent="0.3">
      <c r="O315" s="4">
        <v>5</v>
      </c>
      <c r="P315" s="4">
        <v>65000</v>
      </c>
    </row>
    <row r="316" spans="15:16" x14ac:dyDescent="0.3">
      <c r="O316" s="4">
        <v>5</v>
      </c>
      <c r="P316" s="4">
        <v>65000</v>
      </c>
    </row>
    <row r="317" spans="15:16" x14ac:dyDescent="0.3">
      <c r="O317" s="3">
        <v>5</v>
      </c>
      <c r="P317" s="3">
        <v>65000</v>
      </c>
    </row>
    <row r="318" spans="15:16" x14ac:dyDescent="0.3">
      <c r="O318" s="3">
        <v>5</v>
      </c>
      <c r="P318" s="3">
        <v>65000</v>
      </c>
    </row>
    <row r="319" spans="15:16" x14ac:dyDescent="0.3">
      <c r="O319" s="4">
        <v>5</v>
      </c>
      <c r="P319" s="4">
        <v>65000</v>
      </c>
    </row>
    <row r="320" spans="15:16" x14ac:dyDescent="0.3">
      <c r="O320" s="4">
        <v>5</v>
      </c>
      <c r="P320" s="4">
        <v>65000</v>
      </c>
    </row>
    <row r="321" spans="15:16" x14ac:dyDescent="0.3">
      <c r="O321" s="4">
        <v>5</v>
      </c>
      <c r="P321" s="4">
        <v>65000</v>
      </c>
    </row>
    <row r="322" spans="15:16" x14ac:dyDescent="0.3">
      <c r="O322" s="4">
        <v>5</v>
      </c>
      <c r="P322" s="4">
        <v>65000</v>
      </c>
    </row>
    <row r="323" spans="15:16" x14ac:dyDescent="0.3">
      <c r="O323" s="3">
        <v>5</v>
      </c>
      <c r="P323" s="3">
        <v>65000</v>
      </c>
    </row>
    <row r="324" spans="15:16" x14ac:dyDescent="0.3">
      <c r="O324" s="3">
        <v>5</v>
      </c>
      <c r="P324" s="3">
        <v>65000</v>
      </c>
    </row>
    <row r="325" spans="15:16" x14ac:dyDescent="0.3">
      <c r="O325" s="3">
        <v>5</v>
      </c>
      <c r="P325" s="3">
        <v>65000</v>
      </c>
    </row>
    <row r="326" spans="15:16" x14ac:dyDescent="0.3">
      <c r="O326" s="4">
        <v>5</v>
      </c>
      <c r="P326" s="4">
        <v>65000</v>
      </c>
    </row>
    <row r="327" spans="15:16" x14ac:dyDescent="0.3">
      <c r="O327" s="3">
        <v>5</v>
      </c>
      <c r="P327" s="3">
        <v>65000</v>
      </c>
    </row>
    <row r="328" spans="15:16" x14ac:dyDescent="0.3">
      <c r="O328" s="3">
        <v>5</v>
      </c>
      <c r="P328" s="3">
        <v>65000</v>
      </c>
    </row>
    <row r="329" spans="15:16" x14ac:dyDescent="0.3">
      <c r="O329" s="4">
        <v>5</v>
      </c>
      <c r="P329" s="4">
        <v>65000</v>
      </c>
    </row>
    <row r="330" spans="15:16" x14ac:dyDescent="0.3">
      <c r="O330" s="4">
        <v>5</v>
      </c>
      <c r="P330" s="4">
        <v>65000</v>
      </c>
    </row>
    <row r="331" spans="15:16" x14ac:dyDescent="0.3">
      <c r="O331" s="4">
        <v>5</v>
      </c>
      <c r="P331" s="4">
        <v>65000</v>
      </c>
    </row>
    <row r="332" spans="15:16" x14ac:dyDescent="0.3">
      <c r="O332" s="4">
        <v>5</v>
      </c>
      <c r="P332" s="4">
        <v>66000</v>
      </c>
    </row>
    <row r="333" spans="15:16" x14ac:dyDescent="0.3">
      <c r="O333" s="3">
        <v>5</v>
      </c>
      <c r="P333" s="3">
        <v>66000</v>
      </c>
    </row>
    <row r="334" spans="15:16" x14ac:dyDescent="0.3">
      <c r="O334" s="3">
        <v>5</v>
      </c>
      <c r="P334" s="3">
        <v>66000</v>
      </c>
    </row>
    <row r="335" spans="15:16" x14ac:dyDescent="0.3">
      <c r="O335" s="3">
        <v>5</v>
      </c>
      <c r="P335" s="3">
        <v>67000</v>
      </c>
    </row>
    <row r="336" spans="15:16" x14ac:dyDescent="0.3">
      <c r="O336" s="3">
        <v>5</v>
      </c>
      <c r="P336" s="3">
        <v>67000</v>
      </c>
    </row>
    <row r="337" spans="15:16" x14ac:dyDescent="0.3">
      <c r="O337" s="4">
        <v>5</v>
      </c>
      <c r="P337" s="4">
        <v>68000</v>
      </c>
    </row>
    <row r="338" spans="15:16" x14ac:dyDescent="0.3">
      <c r="O338" s="4">
        <v>5</v>
      </c>
      <c r="P338" s="4">
        <v>68250</v>
      </c>
    </row>
    <row r="339" spans="15:16" x14ac:dyDescent="0.3">
      <c r="O339" s="3">
        <v>5</v>
      </c>
      <c r="P339" s="3">
        <v>69000</v>
      </c>
    </row>
    <row r="340" spans="15:16" x14ac:dyDescent="0.3">
      <c r="O340" s="4">
        <v>5</v>
      </c>
      <c r="P340" s="4">
        <v>69000</v>
      </c>
    </row>
    <row r="341" spans="15:16" x14ac:dyDescent="0.3">
      <c r="O341" s="4">
        <v>5</v>
      </c>
      <c r="P341" s="4">
        <v>70000</v>
      </c>
    </row>
    <row r="342" spans="15:16" x14ac:dyDescent="0.3">
      <c r="O342" s="3">
        <v>5</v>
      </c>
      <c r="P342" s="3">
        <v>70000</v>
      </c>
    </row>
    <row r="343" spans="15:16" x14ac:dyDescent="0.3">
      <c r="O343" s="3">
        <v>5</v>
      </c>
      <c r="P343" s="3">
        <v>70000</v>
      </c>
    </row>
    <row r="344" spans="15:16" x14ac:dyDescent="0.3">
      <c r="O344" s="3">
        <v>5</v>
      </c>
      <c r="P344" s="3">
        <v>70000</v>
      </c>
    </row>
    <row r="345" spans="15:16" x14ac:dyDescent="0.3">
      <c r="O345" s="3">
        <v>5</v>
      </c>
      <c r="P345" s="3">
        <v>70000</v>
      </c>
    </row>
    <row r="346" spans="15:16" x14ac:dyDescent="0.3">
      <c r="O346" s="3">
        <v>5</v>
      </c>
      <c r="P346" s="3">
        <v>70000</v>
      </c>
    </row>
    <row r="347" spans="15:16" x14ac:dyDescent="0.3">
      <c r="O347" s="4">
        <v>5</v>
      </c>
      <c r="P347" s="4">
        <v>70000</v>
      </c>
    </row>
    <row r="348" spans="15:16" x14ac:dyDescent="0.3">
      <c r="O348" s="3">
        <v>5</v>
      </c>
      <c r="P348" s="3">
        <v>70000</v>
      </c>
    </row>
    <row r="349" spans="15:16" x14ac:dyDescent="0.3">
      <c r="O349" s="3">
        <v>5</v>
      </c>
      <c r="P349" s="3">
        <v>70000</v>
      </c>
    </row>
    <row r="350" spans="15:16" x14ac:dyDescent="0.3">
      <c r="O350" s="3">
        <v>5</v>
      </c>
      <c r="P350" s="3">
        <v>70800</v>
      </c>
    </row>
    <row r="351" spans="15:16" x14ac:dyDescent="0.3">
      <c r="O351" s="4">
        <v>5</v>
      </c>
      <c r="P351" s="4">
        <v>71000</v>
      </c>
    </row>
    <row r="352" spans="15:16" x14ac:dyDescent="0.3">
      <c r="O352" s="3">
        <v>5</v>
      </c>
      <c r="P352" s="3">
        <v>71000</v>
      </c>
    </row>
    <row r="353" spans="15:16" x14ac:dyDescent="0.3">
      <c r="O353" s="3">
        <v>5</v>
      </c>
      <c r="P353" s="3">
        <v>72000</v>
      </c>
    </row>
    <row r="354" spans="15:16" x14ac:dyDescent="0.3">
      <c r="O354" s="3">
        <v>5</v>
      </c>
      <c r="P354" s="3">
        <v>72000</v>
      </c>
    </row>
    <row r="355" spans="15:16" x14ac:dyDescent="0.3">
      <c r="O355" s="3">
        <v>5</v>
      </c>
      <c r="P355" s="3">
        <v>72000</v>
      </c>
    </row>
    <row r="356" spans="15:16" x14ac:dyDescent="0.3">
      <c r="O356" s="4">
        <v>5</v>
      </c>
      <c r="P356" s="4">
        <v>72000</v>
      </c>
    </row>
    <row r="357" spans="15:16" x14ac:dyDescent="0.3">
      <c r="O357" s="4">
        <v>5</v>
      </c>
      <c r="P357" s="4">
        <v>72000</v>
      </c>
    </row>
    <row r="358" spans="15:16" x14ac:dyDescent="0.3">
      <c r="O358" s="3">
        <v>5</v>
      </c>
      <c r="P358" s="3">
        <v>72000</v>
      </c>
    </row>
    <row r="359" spans="15:16" x14ac:dyDescent="0.3">
      <c r="O359" s="4">
        <v>5</v>
      </c>
      <c r="P359" s="4">
        <v>73000</v>
      </c>
    </row>
    <row r="360" spans="15:16" x14ac:dyDescent="0.3">
      <c r="O360" s="3">
        <v>5</v>
      </c>
      <c r="P360" s="3">
        <v>73500</v>
      </c>
    </row>
    <row r="361" spans="15:16" x14ac:dyDescent="0.3">
      <c r="O361" s="4">
        <v>5</v>
      </c>
      <c r="P361" s="4">
        <v>74000</v>
      </c>
    </row>
    <row r="362" spans="15:16" x14ac:dyDescent="0.3">
      <c r="O362" s="4">
        <v>5</v>
      </c>
      <c r="P362" s="4">
        <v>75000</v>
      </c>
    </row>
    <row r="363" spans="15:16" x14ac:dyDescent="0.3">
      <c r="O363" s="4">
        <v>5</v>
      </c>
      <c r="P363" s="4">
        <v>75000</v>
      </c>
    </row>
    <row r="364" spans="15:16" x14ac:dyDescent="0.3">
      <c r="O364" s="4">
        <v>5</v>
      </c>
      <c r="P364" s="4">
        <v>75000</v>
      </c>
    </row>
    <row r="365" spans="15:16" x14ac:dyDescent="0.3">
      <c r="O365" s="3">
        <v>5</v>
      </c>
      <c r="P365" s="3">
        <v>75000</v>
      </c>
    </row>
    <row r="366" spans="15:16" x14ac:dyDescent="0.3">
      <c r="O366" s="3">
        <v>5</v>
      </c>
      <c r="P366" s="3">
        <v>75000</v>
      </c>
    </row>
    <row r="367" spans="15:16" x14ac:dyDescent="0.3">
      <c r="O367" s="4">
        <v>5</v>
      </c>
      <c r="P367" s="4">
        <v>75000</v>
      </c>
    </row>
    <row r="368" spans="15:16" x14ac:dyDescent="0.3">
      <c r="O368" s="3">
        <v>5</v>
      </c>
      <c r="P368" s="3">
        <v>75000</v>
      </c>
    </row>
    <row r="369" spans="15:16" x14ac:dyDescent="0.3">
      <c r="O369" s="4">
        <v>5</v>
      </c>
      <c r="P369" s="4">
        <v>75000</v>
      </c>
    </row>
    <row r="370" spans="15:16" x14ac:dyDescent="0.3">
      <c r="O370" s="3">
        <v>5</v>
      </c>
      <c r="P370" s="3">
        <v>75000</v>
      </c>
    </row>
    <row r="371" spans="15:16" x14ac:dyDescent="0.3">
      <c r="O371" s="4">
        <v>5</v>
      </c>
      <c r="P371" s="4">
        <v>75000</v>
      </c>
    </row>
    <row r="372" spans="15:16" x14ac:dyDescent="0.3">
      <c r="O372" s="4">
        <v>5</v>
      </c>
      <c r="P372" s="4">
        <v>76000</v>
      </c>
    </row>
    <row r="373" spans="15:16" x14ac:dyDescent="0.3">
      <c r="O373" s="3">
        <v>5</v>
      </c>
      <c r="P373" s="3">
        <v>76000</v>
      </c>
    </row>
    <row r="374" spans="15:16" x14ac:dyDescent="0.3">
      <c r="O374" s="4">
        <v>5</v>
      </c>
      <c r="P374" s="4">
        <v>76500</v>
      </c>
    </row>
    <row r="375" spans="15:16" x14ac:dyDescent="0.3">
      <c r="O375" s="3">
        <v>5</v>
      </c>
      <c r="P375" s="3">
        <v>77000</v>
      </c>
    </row>
    <row r="376" spans="15:16" x14ac:dyDescent="0.3">
      <c r="O376" s="4">
        <v>5</v>
      </c>
      <c r="P376" s="4">
        <v>77500</v>
      </c>
    </row>
    <row r="377" spans="15:16" x14ac:dyDescent="0.3">
      <c r="O377" s="4">
        <v>5</v>
      </c>
      <c r="P377" s="4">
        <v>78000</v>
      </c>
    </row>
    <row r="378" spans="15:16" x14ac:dyDescent="0.3">
      <c r="O378" s="4">
        <v>5</v>
      </c>
      <c r="P378" s="4">
        <v>79000</v>
      </c>
    </row>
    <row r="379" spans="15:16" x14ac:dyDescent="0.3">
      <c r="O379" s="3">
        <v>5</v>
      </c>
      <c r="P379" s="3">
        <v>80000</v>
      </c>
    </row>
    <row r="380" spans="15:16" x14ac:dyDescent="0.3">
      <c r="O380" s="3">
        <v>5</v>
      </c>
      <c r="P380" s="3">
        <v>80000</v>
      </c>
    </row>
    <row r="381" spans="15:16" x14ac:dyDescent="0.3">
      <c r="O381" s="4">
        <v>5</v>
      </c>
      <c r="P381" s="4">
        <v>80000</v>
      </c>
    </row>
    <row r="382" spans="15:16" x14ac:dyDescent="0.3">
      <c r="O382" s="3">
        <v>5</v>
      </c>
      <c r="P382" s="3">
        <v>80000</v>
      </c>
    </row>
    <row r="383" spans="15:16" x14ac:dyDescent="0.3">
      <c r="O383" s="4">
        <v>5</v>
      </c>
      <c r="P383" s="4">
        <v>80000</v>
      </c>
    </row>
    <row r="384" spans="15:16" x14ac:dyDescent="0.3">
      <c r="O384" s="3">
        <v>5</v>
      </c>
      <c r="P384" s="3">
        <v>87000</v>
      </c>
    </row>
    <row r="385" spans="15:16" x14ac:dyDescent="0.3">
      <c r="O385" s="4">
        <v>5</v>
      </c>
      <c r="P385" s="4">
        <v>90000</v>
      </c>
    </row>
    <row r="386" spans="15:16" x14ac:dyDescent="0.3">
      <c r="O386" s="3">
        <v>5</v>
      </c>
      <c r="P386" s="3">
        <v>90000</v>
      </c>
    </row>
    <row r="387" spans="15:16" x14ac:dyDescent="0.3">
      <c r="O387" s="3">
        <v>5</v>
      </c>
      <c r="P387" s="3">
        <v>90000</v>
      </c>
    </row>
    <row r="388" spans="15:16" x14ac:dyDescent="0.3">
      <c r="O388" s="4">
        <v>5</v>
      </c>
      <c r="P388" s="4">
        <v>106000</v>
      </c>
    </row>
    <row r="389" spans="15:16" x14ac:dyDescent="0.3">
      <c r="O389" s="4">
        <v>5</v>
      </c>
      <c r="P389" s="4">
        <v>115000</v>
      </c>
    </row>
    <row r="390" spans="15:16" x14ac:dyDescent="0.3">
      <c r="O390" s="3">
        <v>5</v>
      </c>
      <c r="P390" s="3">
        <v>150000</v>
      </c>
    </row>
    <row r="391" spans="15:16" x14ac:dyDescent="0.3">
      <c r="O391" s="3">
        <v>5</v>
      </c>
      <c r="P391" s="3">
        <v>180000</v>
      </c>
    </row>
    <row r="392" spans="15:16" x14ac:dyDescent="0.3">
      <c r="O392" s="3">
        <v>5</v>
      </c>
      <c r="P392" s="3">
        <v>240000</v>
      </c>
    </row>
    <row r="393" spans="15:16" x14ac:dyDescent="0.3">
      <c r="O393" s="4">
        <v>5.5</v>
      </c>
      <c r="P393" s="4">
        <v>48000</v>
      </c>
    </row>
    <row r="394" spans="15:16" x14ac:dyDescent="0.3">
      <c r="O394" s="3">
        <v>6</v>
      </c>
      <c r="P394" s="3">
        <v>33000</v>
      </c>
    </row>
    <row r="395" spans="15:16" x14ac:dyDescent="0.3">
      <c r="O395" s="3">
        <v>6</v>
      </c>
      <c r="P395" s="3">
        <v>42000</v>
      </c>
    </row>
    <row r="396" spans="15:16" x14ac:dyDescent="0.3">
      <c r="O396" s="3">
        <v>6</v>
      </c>
      <c r="P396" s="3">
        <v>47400</v>
      </c>
    </row>
    <row r="397" spans="15:16" x14ac:dyDescent="0.3">
      <c r="O397" s="3">
        <v>6</v>
      </c>
      <c r="P397" s="3">
        <v>49000</v>
      </c>
    </row>
    <row r="398" spans="15:16" x14ac:dyDescent="0.3">
      <c r="O398" s="4">
        <v>6</v>
      </c>
      <c r="P398" s="4">
        <v>50000</v>
      </c>
    </row>
    <row r="399" spans="15:16" x14ac:dyDescent="0.3">
      <c r="O399" s="4">
        <v>6</v>
      </c>
      <c r="P399" s="4">
        <v>50000</v>
      </c>
    </row>
    <row r="400" spans="15:16" x14ac:dyDescent="0.3">
      <c r="O400" s="4">
        <v>6</v>
      </c>
      <c r="P400" s="4">
        <v>51000</v>
      </c>
    </row>
    <row r="401" spans="15:16" x14ac:dyDescent="0.3">
      <c r="O401" s="3">
        <v>6</v>
      </c>
      <c r="P401" s="3">
        <v>51000</v>
      </c>
    </row>
    <row r="402" spans="15:16" x14ac:dyDescent="0.3">
      <c r="O402" s="4">
        <v>6</v>
      </c>
      <c r="P402" s="4">
        <v>52800</v>
      </c>
    </row>
    <row r="403" spans="15:16" x14ac:dyDescent="0.3">
      <c r="O403" s="4">
        <v>6</v>
      </c>
      <c r="P403" s="4">
        <v>53000</v>
      </c>
    </row>
    <row r="404" spans="15:16" x14ac:dyDescent="0.3">
      <c r="O404" s="3">
        <v>6</v>
      </c>
      <c r="P404" s="3">
        <v>53000</v>
      </c>
    </row>
    <row r="405" spans="15:16" x14ac:dyDescent="0.3">
      <c r="O405" s="3">
        <v>6</v>
      </c>
      <c r="P405" s="3">
        <v>54000</v>
      </c>
    </row>
    <row r="406" spans="15:16" x14ac:dyDescent="0.3">
      <c r="O406" s="3">
        <v>6</v>
      </c>
      <c r="P406" s="3">
        <v>55000</v>
      </c>
    </row>
    <row r="407" spans="15:16" x14ac:dyDescent="0.3">
      <c r="O407" s="4">
        <v>6</v>
      </c>
      <c r="P407" s="4">
        <v>55000</v>
      </c>
    </row>
    <row r="408" spans="15:16" x14ac:dyDescent="0.3">
      <c r="O408" s="4">
        <v>6</v>
      </c>
      <c r="P408" s="4">
        <v>56000</v>
      </c>
    </row>
    <row r="409" spans="15:16" x14ac:dyDescent="0.3">
      <c r="O409" s="4">
        <v>6</v>
      </c>
      <c r="P409" s="4">
        <v>57000</v>
      </c>
    </row>
    <row r="410" spans="15:16" x14ac:dyDescent="0.3">
      <c r="O410" s="4">
        <v>6</v>
      </c>
      <c r="P410" s="4">
        <v>57000</v>
      </c>
    </row>
    <row r="411" spans="15:16" x14ac:dyDescent="0.3">
      <c r="O411" s="3">
        <v>6</v>
      </c>
      <c r="P411" s="3">
        <v>57000</v>
      </c>
    </row>
    <row r="412" spans="15:16" x14ac:dyDescent="0.3">
      <c r="O412" s="3">
        <v>6</v>
      </c>
      <c r="P412" s="3">
        <v>58000</v>
      </c>
    </row>
    <row r="413" spans="15:16" x14ac:dyDescent="0.3">
      <c r="O413" s="4">
        <v>6</v>
      </c>
      <c r="P413" s="4">
        <v>58000</v>
      </c>
    </row>
    <row r="414" spans="15:16" x14ac:dyDescent="0.3">
      <c r="O414" s="4">
        <v>6</v>
      </c>
      <c r="P414" s="4">
        <v>58000</v>
      </c>
    </row>
    <row r="415" spans="15:16" x14ac:dyDescent="0.3">
      <c r="O415" s="3">
        <v>6</v>
      </c>
      <c r="P415" s="3">
        <v>59000</v>
      </c>
    </row>
    <row r="416" spans="15:16" x14ac:dyDescent="0.3">
      <c r="O416" s="4">
        <v>6</v>
      </c>
      <c r="P416" s="4">
        <v>60000</v>
      </c>
    </row>
    <row r="417" spans="15:16" x14ac:dyDescent="0.3">
      <c r="O417" s="3">
        <v>6</v>
      </c>
      <c r="P417" s="3">
        <v>60000</v>
      </c>
    </row>
    <row r="418" spans="15:16" x14ac:dyDescent="0.3">
      <c r="O418" s="3">
        <v>6</v>
      </c>
      <c r="P418" s="3">
        <v>60000</v>
      </c>
    </row>
    <row r="419" spans="15:16" x14ac:dyDescent="0.3">
      <c r="O419" s="3">
        <v>6</v>
      </c>
      <c r="P419" s="3">
        <v>60000</v>
      </c>
    </row>
    <row r="420" spans="15:16" x14ac:dyDescent="0.3">
      <c r="O420" s="4">
        <v>6</v>
      </c>
      <c r="P420" s="4">
        <v>60000</v>
      </c>
    </row>
    <row r="421" spans="15:16" x14ac:dyDescent="0.3">
      <c r="O421" s="3">
        <v>6</v>
      </c>
      <c r="P421" s="3">
        <v>60000</v>
      </c>
    </row>
    <row r="422" spans="15:16" x14ac:dyDescent="0.3">
      <c r="O422" s="4">
        <v>6</v>
      </c>
      <c r="P422" s="4">
        <v>60000</v>
      </c>
    </row>
    <row r="423" spans="15:16" x14ac:dyDescent="0.3">
      <c r="O423" s="4">
        <v>6</v>
      </c>
      <c r="P423" s="4">
        <v>60000</v>
      </c>
    </row>
    <row r="424" spans="15:16" x14ac:dyDescent="0.3">
      <c r="O424" s="4">
        <v>6</v>
      </c>
      <c r="P424" s="4">
        <v>61500</v>
      </c>
    </row>
    <row r="425" spans="15:16" x14ac:dyDescent="0.3">
      <c r="O425" s="4">
        <v>6</v>
      </c>
      <c r="P425" s="4">
        <v>62000</v>
      </c>
    </row>
    <row r="426" spans="15:16" x14ac:dyDescent="0.3">
      <c r="O426" s="3">
        <v>6</v>
      </c>
      <c r="P426" s="3">
        <v>62000</v>
      </c>
    </row>
    <row r="427" spans="15:16" x14ac:dyDescent="0.3">
      <c r="O427" s="3">
        <v>6</v>
      </c>
      <c r="P427" s="3">
        <v>62000</v>
      </c>
    </row>
    <row r="428" spans="15:16" x14ac:dyDescent="0.3">
      <c r="O428" s="4">
        <v>6</v>
      </c>
      <c r="P428" s="4">
        <v>63000</v>
      </c>
    </row>
    <row r="429" spans="15:16" x14ac:dyDescent="0.3">
      <c r="O429" s="3">
        <v>6</v>
      </c>
      <c r="P429" s="3">
        <v>63000</v>
      </c>
    </row>
    <row r="430" spans="15:16" x14ac:dyDescent="0.3">
      <c r="O430" s="3">
        <v>6</v>
      </c>
      <c r="P430" s="3">
        <v>63700</v>
      </c>
    </row>
    <row r="431" spans="15:16" x14ac:dyDescent="0.3">
      <c r="O431" s="3">
        <v>6</v>
      </c>
      <c r="P431" s="3">
        <v>64000</v>
      </c>
    </row>
    <row r="432" spans="15:16" x14ac:dyDescent="0.3">
      <c r="O432" s="4">
        <v>6</v>
      </c>
      <c r="P432" s="4">
        <v>64800</v>
      </c>
    </row>
    <row r="433" spans="15:16" x14ac:dyDescent="0.3">
      <c r="O433" s="3">
        <v>6</v>
      </c>
      <c r="P433" s="3">
        <v>65000</v>
      </c>
    </row>
    <row r="434" spans="15:16" x14ac:dyDescent="0.3">
      <c r="O434" s="3">
        <v>6</v>
      </c>
      <c r="P434" s="3">
        <v>65000</v>
      </c>
    </row>
    <row r="435" spans="15:16" x14ac:dyDescent="0.3">
      <c r="O435" s="3">
        <v>6</v>
      </c>
      <c r="P435" s="3">
        <v>65000</v>
      </c>
    </row>
    <row r="436" spans="15:16" x14ac:dyDescent="0.3">
      <c r="O436" s="3">
        <v>6</v>
      </c>
      <c r="P436" s="3">
        <v>65000</v>
      </c>
    </row>
    <row r="437" spans="15:16" x14ac:dyDescent="0.3">
      <c r="O437" s="3">
        <v>6</v>
      </c>
      <c r="P437" s="3">
        <v>65000</v>
      </c>
    </row>
    <row r="438" spans="15:16" x14ac:dyDescent="0.3">
      <c r="O438" s="4">
        <v>6</v>
      </c>
      <c r="P438" s="4">
        <v>65000</v>
      </c>
    </row>
    <row r="439" spans="15:16" x14ac:dyDescent="0.3">
      <c r="O439" s="4">
        <v>6</v>
      </c>
      <c r="P439" s="4">
        <v>65000</v>
      </c>
    </row>
    <row r="440" spans="15:16" x14ac:dyDescent="0.3">
      <c r="O440" s="4">
        <v>6</v>
      </c>
      <c r="P440" s="4">
        <v>66000</v>
      </c>
    </row>
    <row r="441" spans="15:16" x14ac:dyDescent="0.3">
      <c r="O441" s="3">
        <v>6</v>
      </c>
      <c r="P441" s="3">
        <v>66000</v>
      </c>
    </row>
    <row r="442" spans="15:16" x14ac:dyDescent="0.3">
      <c r="O442" s="4">
        <v>6</v>
      </c>
      <c r="P442" s="4">
        <v>66500</v>
      </c>
    </row>
    <row r="443" spans="15:16" x14ac:dyDescent="0.3">
      <c r="O443" s="4">
        <v>6</v>
      </c>
      <c r="P443" s="4">
        <v>67500</v>
      </c>
    </row>
    <row r="444" spans="15:16" x14ac:dyDescent="0.3">
      <c r="O444" s="3">
        <v>6</v>
      </c>
      <c r="P444" s="3">
        <v>68000</v>
      </c>
    </row>
    <row r="445" spans="15:16" x14ac:dyDescent="0.3">
      <c r="O445" s="3">
        <v>6</v>
      </c>
      <c r="P445" s="3">
        <v>68000</v>
      </c>
    </row>
    <row r="446" spans="15:16" x14ac:dyDescent="0.3">
      <c r="O446" s="4">
        <v>6</v>
      </c>
      <c r="P446" s="4">
        <v>69200</v>
      </c>
    </row>
    <row r="447" spans="15:16" x14ac:dyDescent="0.3">
      <c r="O447" s="3">
        <v>6</v>
      </c>
      <c r="P447" s="3">
        <v>70000</v>
      </c>
    </row>
    <row r="448" spans="15:16" x14ac:dyDescent="0.3">
      <c r="O448" s="3">
        <v>6</v>
      </c>
      <c r="P448" s="3">
        <v>70000</v>
      </c>
    </row>
    <row r="449" spans="15:16" x14ac:dyDescent="0.3">
      <c r="O449" s="3">
        <v>6</v>
      </c>
      <c r="P449" s="3">
        <v>70000</v>
      </c>
    </row>
    <row r="450" spans="15:16" x14ac:dyDescent="0.3">
      <c r="O450" s="3">
        <v>6</v>
      </c>
      <c r="P450" s="3">
        <v>70000</v>
      </c>
    </row>
    <row r="451" spans="15:16" x14ac:dyDescent="0.3">
      <c r="O451" s="3">
        <v>6</v>
      </c>
      <c r="P451" s="3">
        <v>70000</v>
      </c>
    </row>
    <row r="452" spans="15:16" x14ac:dyDescent="0.3">
      <c r="O452" s="3">
        <v>6</v>
      </c>
      <c r="P452" s="3">
        <v>70000</v>
      </c>
    </row>
    <row r="453" spans="15:16" x14ac:dyDescent="0.3">
      <c r="O453" s="3">
        <v>6</v>
      </c>
      <c r="P453" s="3">
        <v>70000</v>
      </c>
    </row>
    <row r="454" spans="15:16" x14ac:dyDescent="0.3">
      <c r="O454" s="4">
        <v>6</v>
      </c>
      <c r="P454" s="4">
        <v>70000</v>
      </c>
    </row>
    <row r="455" spans="15:16" x14ac:dyDescent="0.3">
      <c r="O455" s="4">
        <v>6</v>
      </c>
      <c r="P455" s="4">
        <v>70000</v>
      </c>
    </row>
    <row r="456" spans="15:16" x14ac:dyDescent="0.3">
      <c r="O456" s="4">
        <v>6</v>
      </c>
      <c r="P456" s="4">
        <v>70000</v>
      </c>
    </row>
    <row r="457" spans="15:16" x14ac:dyDescent="0.3">
      <c r="O457" s="3">
        <v>6</v>
      </c>
      <c r="P457" s="3">
        <v>70000</v>
      </c>
    </row>
    <row r="458" spans="15:16" x14ac:dyDescent="0.3">
      <c r="O458" s="4">
        <v>6</v>
      </c>
      <c r="P458" s="4">
        <v>71750</v>
      </c>
    </row>
    <row r="459" spans="15:16" x14ac:dyDescent="0.3">
      <c r="O459" s="4">
        <v>6</v>
      </c>
      <c r="P459" s="4">
        <v>72000</v>
      </c>
    </row>
    <row r="460" spans="15:16" x14ac:dyDescent="0.3">
      <c r="O460" s="3">
        <v>6</v>
      </c>
      <c r="P460" s="3">
        <v>74000</v>
      </c>
    </row>
    <row r="461" spans="15:16" x14ac:dyDescent="0.3">
      <c r="O461" s="3">
        <v>6</v>
      </c>
      <c r="P461" s="3">
        <v>74000</v>
      </c>
    </row>
    <row r="462" spans="15:16" x14ac:dyDescent="0.3">
      <c r="O462" s="3">
        <v>6</v>
      </c>
      <c r="P462" s="3">
        <v>74000</v>
      </c>
    </row>
    <row r="463" spans="15:16" x14ac:dyDescent="0.3">
      <c r="O463" s="3">
        <v>6</v>
      </c>
      <c r="P463" s="3">
        <v>75000</v>
      </c>
    </row>
    <row r="464" spans="15:16" x14ac:dyDescent="0.3">
      <c r="O464" s="4">
        <v>6</v>
      </c>
      <c r="P464" s="4">
        <v>75000</v>
      </c>
    </row>
    <row r="465" spans="15:16" x14ac:dyDescent="0.3">
      <c r="O465" s="4">
        <v>6</v>
      </c>
      <c r="P465" s="4">
        <v>75000</v>
      </c>
    </row>
    <row r="466" spans="15:16" x14ac:dyDescent="0.3">
      <c r="O466" s="3">
        <v>6</v>
      </c>
      <c r="P466" s="3">
        <v>75000</v>
      </c>
    </row>
    <row r="467" spans="15:16" x14ac:dyDescent="0.3">
      <c r="O467" s="3">
        <v>6</v>
      </c>
      <c r="P467" s="3">
        <v>75000</v>
      </c>
    </row>
    <row r="468" spans="15:16" x14ac:dyDescent="0.3">
      <c r="O468" s="4">
        <v>6</v>
      </c>
      <c r="P468" s="4">
        <v>76000</v>
      </c>
    </row>
    <row r="469" spans="15:16" x14ac:dyDescent="0.3">
      <c r="O469" s="3">
        <v>6</v>
      </c>
      <c r="P469" s="3">
        <v>78000</v>
      </c>
    </row>
    <row r="470" spans="15:16" x14ac:dyDescent="0.3">
      <c r="O470" s="3">
        <v>6</v>
      </c>
      <c r="P470" s="3">
        <v>78000</v>
      </c>
    </row>
    <row r="471" spans="15:16" x14ac:dyDescent="0.3">
      <c r="O471" s="3">
        <v>6</v>
      </c>
      <c r="P471" s="3">
        <v>79000</v>
      </c>
    </row>
    <row r="472" spans="15:16" x14ac:dyDescent="0.3">
      <c r="O472" s="3">
        <v>6</v>
      </c>
      <c r="P472" s="3">
        <v>80000</v>
      </c>
    </row>
    <row r="473" spans="15:16" x14ac:dyDescent="0.3">
      <c r="O473" s="3">
        <v>6</v>
      </c>
      <c r="P473" s="3">
        <v>80000</v>
      </c>
    </row>
    <row r="474" spans="15:16" x14ac:dyDescent="0.3">
      <c r="O474" s="3">
        <v>6</v>
      </c>
      <c r="P474" s="3">
        <v>82000</v>
      </c>
    </row>
    <row r="475" spans="15:16" x14ac:dyDescent="0.3">
      <c r="O475" s="3">
        <v>6</v>
      </c>
      <c r="P475" s="3">
        <v>82000</v>
      </c>
    </row>
    <row r="476" spans="15:16" x14ac:dyDescent="0.3">
      <c r="O476" s="4">
        <v>6</v>
      </c>
      <c r="P476" s="4">
        <v>83000</v>
      </c>
    </row>
    <row r="477" spans="15:16" x14ac:dyDescent="0.3">
      <c r="O477" s="3">
        <v>6</v>
      </c>
      <c r="P477" s="3">
        <v>85000</v>
      </c>
    </row>
    <row r="478" spans="15:16" x14ac:dyDescent="0.3">
      <c r="O478" s="3">
        <v>6</v>
      </c>
      <c r="P478" s="3">
        <v>85000</v>
      </c>
    </row>
    <row r="479" spans="15:16" x14ac:dyDescent="0.3">
      <c r="O479" s="4">
        <v>6</v>
      </c>
      <c r="P479" s="4">
        <v>85000</v>
      </c>
    </row>
    <row r="480" spans="15:16" x14ac:dyDescent="0.3">
      <c r="O480" s="4">
        <v>6</v>
      </c>
      <c r="P480" s="4">
        <v>85600</v>
      </c>
    </row>
    <row r="481" spans="15:16" x14ac:dyDescent="0.3">
      <c r="O481" s="3">
        <v>6</v>
      </c>
      <c r="P481" s="3">
        <v>86000</v>
      </c>
    </row>
    <row r="482" spans="15:16" x14ac:dyDescent="0.3">
      <c r="O482" s="4">
        <v>6</v>
      </c>
      <c r="P482" s="4">
        <v>90000</v>
      </c>
    </row>
    <row r="483" spans="15:16" x14ac:dyDescent="0.3">
      <c r="O483" s="4">
        <v>6</v>
      </c>
      <c r="P483" s="4">
        <v>90000</v>
      </c>
    </row>
    <row r="484" spans="15:16" x14ac:dyDescent="0.3">
      <c r="O484" s="3">
        <v>6</v>
      </c>
      <c r="P484" s="3">
        <v>90000</v>
      </c>
    </row>
    <row r="485" spans="15:16" x14ac:dyDescent="0.3">
      <c r="O485" s="3">
        <v>6</v>
      </c>
      <c r="P485" s="3">
        <v>92000</v>
      </c>
    </row>
    <row r="486" spans="15:16" x14ac:dyDescent="0.3">
      <c r="O486" s="3">
        <v>6</v>
      </c>
      <c r="P486" s="3">
        <v>92000</v>
      </c>
    </row>
    <row r="487" spans="15:16" x14ac:dyDescent="0.3">
      <c r="O487" s="4">
        <v>6</v>
      </c>
      <c r="P487" s="4">
        <v>93000</v>
      </c>
    </row>
    <row r="488" spans="15:16" x14ac:dyDescent="0.3">
      <c r="O488" s="3">
        <v>6</v>
      </c>
      <c r="P488" s="3">
        <v>100000</v>
      </c>
    </row>
    <row r="489" spans="15:16" x14ac:dyDescent="0.3">
      <c r="O489" s="3">
        <v>6</v>
      </c>
      <c r="P489" s="3">
        <v>100000</v>
      </c>
    </row>
    <row r="490" spans="15:16" x14ac:dyDescent="0.3">
      <c r="O490" s="4">
        <v>6</v>
      </c>
      <c r="P490" s="4">
        <v>110000</v>
      </c>
    </row>
    <row r="491" spans="15:16" x14ac:dyDescent="0.3">
      <c r="O491" s="3">
        <v>6</v>
      </c>
      <c r="P491" s="3">
        <v>110000</v>
      </c>
    </row>
    <row r="492" spans="15:16" x14ac:dyDescent="0.3">
      <c r="O492" s="4">
        <v>6</v>
      </c>
      <c r="P492" s="4">
        <v>110000</v>
      </c>
    </row>
    <row r="493" spans="15:16" x14ac:dyDescent="0.3">
      <c r="O493" s="3">
        <v>6</v>
      </c>
      <c r="P493" s="3">
        <v>200000</v>
      </c>
    </row>
    <row r="494" spans="15:16" x14ac:dyDescent="0.3">
      <c r="O494" s="3">
        <v>6.5</v>
      </c>
      <c r="P494" s="3">
        <v>58000</v>
      </c>
    </row>
    <row r="495" spans="15:16" x14ac:dyDescent="0.3">
      <c r="O495" s="3">
        <v>7</v>
      </c>
      <c r="P495" s="3">
        <v>38350</v>
      </c>
    </row>
    <row r="496" spans="15:16" x14ac:dyDescent="0.3">
      <c r="O496" s="3">
        <v>7</v>
      </c>
      <c r="P496" s="3">
        <v>42000</v>
      </c>
    </row>
    <row r="497" spans="15:16" x14ac:dyDescent="0.3">
      <c r="O497" s="3">
        <v>7</v>
      </c>
      <c r="P497" s="3">
        <v>42000</v>
      </c>
    </row>
    <row r="498" spans="15:16" x14ac:dyDescent="0.3">
      <c r="O498" s="4">
        <v>7</v>
      </c>
      <c r="P498" s="4">
        <v>45000</v>
      </c>
    </row>
    <row r="499" spans="15:16" x14ac:dyDescent="0.3">
      <c r="O499" s="3">
        <v>7</v>
      </c>
      <c r="P499" s="3">
        <v>45000</v>
      </c>
    </row>
    <row r="500" spans="15:16" x14ac:dyDescent="0.3">
      <c r="O500" s="4">
        <v>7</v>
      </c>
      <c r="P500" s="4">
        <v>45000</v>
      </c>
    </row>
    <row r="501" spans="15:16" x14ac:dyDescent="0.3">
      <c r="O501" s="3">
        <v>7</v>
      </c>
      <c r="P501" s="3">
        <v>46000</v>
      </c>
    </row>
    <row r="502" spans="15:16" x14ac:dyDescent="0.3">
      <c r="O502" s="4">
        <v>7</v>
      </c>
      <c r="P502" s="4">
        <v>48000</v>
      </c>
    </row>
    <row r="503" spans="15:16" x14ac:dyDescent="0.3">
      <c r="O503" s="3">
        <v>7</v>
      </c>
      <c r="P503" s="3">
        <v>49000</v>
      </c>
    </row>
    <row r="504" spans="15:16" x14ac:dyDescent="0.3">
      <c r="O504" s="4">
        <v>7</v>
      </c>
      <c r="P504" s="4">
        <v>50400</v>
      </c>
    </row>
    <row r="505" spans="15:16" x14ac:dyDescent="0.3">
      <c r="O505" s="3">
        <v>7</v>
      </c>
      <c r="P505" s="3">
        <v>54000</v>
      </c>
    </row>
    <row r="506" spans="15:16" x14ac:dyDescent="0.3">
      <c r="O506" s="3">
        <v>7</v>
      </c>
      <c r="P506" s="3">
        <v>54000</v>
      </c>
    </row>
    <row r="507" spans="15:16" x14ac:dyDescent="0.3">
      <c r="O507" s="3">
        <v>7</v>
      </c>
      <c r="P507" s="3">
        <v>54500</v>
      </c>
    </row>
    <row r="508" spans="15:16" x14ac:dyDescent="0.3">
      <c r="O508" s="4">
        <v>7</v>
      </c>
      <c r="P508" s="4">
        <v>55000</v>
      </c>
    </row>
    <row r="509" spans="15:16" x14ac:dyDescent="0.3">
      <c r="O509" s="3">
        <v>7</v>
      </c>
      <c r="P509" s="3">
        <v>55000</v>
      </c>
    </row>
    <row r="510" spans="15:16" x14ac:dyDescent="0.3">
      <c r="O510" s="3">
        <v>7</v>
      </c>
      <c r="P510" s="3">
        <v>60000</v>
      </c>
    </row>
    <row r="511" spans="15:16" x14ac:dyDescent="0.3">
      <c r="O511" s="4">
        <v>7</v>
      </c>
      <c r="P511" s="4">
        <v>60000</v>
      </c>
    </row>
    <row r="512" spans="15:16" x14ac:dyDescent="0.3">
      <c r="O512" s="4">
        <v>7</v>
      </c>
      <c r="P512" s="4">
        <v>60000</v>
      </c>
    </row>
    <row r="513" spans="15:16" x14ac:dyDescent="0.3">
      <c r="O513" s="3">
        <v>7</v>
      </c>
      <c r="P513" s="3">
        <v>60000</v>
      </c>
    </row>
    <row r="514" spans="15:16" x14ac:dyDescent="0.3">
      <c r="O514" s="3">
        <v>7</v>
      </c>
      <c r="P514" s="3">
        <v>60000</v>
      </c>
    </row>
    <row r="515" spans="15:16" x14ac:dyDescent="0.3">
      <c r="O515" s="3">
        <v>7</v>
      </c>
      <c r="P515" s="3">
        <v>60000</v>
      </c>
    </row>
    <row r="516" spans="15:16" x14ac:dyDescent="0.3">
      <c r="O516" s="4">
        <v>7</v>
      </c>
      <c r="P516" s="4">
        <v>60000</v>
      </c>
    </row>
    <row r="517" spans="15:16" x14ac:dyDescent="0.3">
      <c r="O517" s="3">
        <v>7</v>
      </c>
      <c r="P517" s="3">
        <v>60350</v>
      </c>
    </row>
    <row r="518" spans="15:16" x14ac:dyDescent="0.3">
      <c r="O518" s="3">
        <v>7</v>
      </c>
      <c r="P518" s="3">
        <v>62000</v>
      </c>
    </row>
    <row r="519" spans="15:16" x14ac:dyDescent="0.3">
      <c r="O519" s="3">
        <v>7</v>
      </c>
      <c r="P519" s="3">
        <v>62000</v>
      </c>
    </row>
    <row r="520" spans="15:16" x14ac:dyDescent="0.3">
      <c r="O520" s="3">
        <v>7</v>
      </c>
      <c r="P520" s="3">
        <v>62000</v>
      </c>
    </row>
    <row r="521" spans="15:16" x14ac:dyDescent="0.3">
      <c r="O521" s="4">
        <v>7</v>
      </c>
      <c r="P521" s="4">
        <v>63000</v>
      </c>
    </row>
    <row r="522" spans="15:16" x14ac:dyDescent="0.3">
      <c r="O522" s="4">
        <v>7</v>
      </c>
      <c r="P522" s="4">
        <v>63000</v>
      </c>
    </row>
    <row r="523" spans="15:16" x14ac:dyDescent="0.3">
      <c r="O523" s="3">
        <v>7</v>
      </c>
      <c r="P523" s="3">
        <v>63000</v>
      </c>
    </row>
    <row r="524" spans="15:16" x14ac:dyDescent="0.3">
      <c r="O524" s="3">
        <v>7</v>
      </c>
      <c r="P524" s="3">
        <v>64000</v>
      </c>
    </row>
    <row r="525" spans="15:16" x14ac:dyDescent="0.3">
      <c r="O525" s="3">
        <v>7</v>
      </c>
      <c r="P525" s="3">
        <v>64000</v>
      </c>
    </row>
    <row r="526" spans="15:16" x14ac:dyDescent="0.3">
      <c r="O526" s="4">
        <v>7</v>
      </c>
      <c r="P526" s="4">
        <v>65000</v>
      </c>
    </row>
    <row r="527" spans="15:16" x14ac:dyDescent="0.3">
      <c r="O527" s="4">
        <v>7</v>
      </c>
      <c r="P527" s="4">
        <v>65000</v>
      </c>
    </row>
    <row r="528" spans="15:16" x14ac:dyDescent="0.3">
      <c r="O528" s="4">
        <v>7</v>
      </c>
      <c r="P528" s="4">
        <v>65000</v>
      </c>
    </row>
    <row r="529" spans="15:16" x14ac:dyDescent="0.3">
      <c r="O529" s="3">
        <v>7</v>
      </c>
      <c r="P529" s="3">
        <v>65000</v>
      </c>
    </row>
    <row r="530" spans="15:16" x14ac:dyDescent="0.3">
      <c r="O530" s="4">
        <v>7</v>
      </c>
      <c r="P530" s="4">
        <v>65000</v>
      </c>
    </row>
    <row r="531" spans="15:16" x14ac:dyDescent="0.3">
      <c r="O531" s="3">
        <v>7</v>
      </c>
      <c r="P531" s="3">
        <v>65900</v>
      </c>
    </row>
    <row r="532" spans="15:16" x14ac:dyDescent="0.3">
      <c r="O532" s="4">
        <v>7</v>
      </c>
      <c r="P532" s="4">
        <v>66000</v>
      </c>
    </row>
    <row r="533" spans="15:16" x14ac:dyDescent="0.3">
      <c r="O533" s="4">
        <v>7</v>
      </c>
      <c r="P533" s="4">
        <v>68000</v>
      </c>
    </row>
    <row r="534" spans="15:16" x14ac:dyDescent="0.3">
      <c r="O534" s="4">
        <v>7</v>
      </c>
      <c r="P534" s="4">
        <v>68000</v>
      </c>
    </row>
    <row r="535" spans="15:16" x14ac:dyDescent="0.3">
      <c r="O535" s="4">
        <v>7</v>
      </c>
      <c r="P535" s="4">
        <v>68500</v>
      </c>
    </row>
    <row r="536" spans="15:16" x14ac:dyDescent="0.3">
      <c r="O536" s="3">
        <v>7</v>
      </c>
      <c r="P536" s="3">
        <v>70000</v>
      </c>
    </row>
    <row r="537" spans="15:16" x14ac:dyDescent="0.3">
      <c r="O537" s="4">
        <v>7</v>
      </c>
      <c r="P537" s="4">
        <v>70000</v>
      </c>
    </row>
    <row r="538" spans="15:16" x14ac:dyDescent="0.3">
      <c r="O538" s="3">
        <v>7</v>
      </c>
      <c r="P538" s="3">
        <v>70000</v>
      </c>
    </row>
    <row r="539" spans="15:16" x14ac:dyDescent="0.3">
      <c r="O539" s="4">
        <v>7</v>
      </c>
      <c r="P539" s="4">
        <v>70000</v>
      </c>
    </row>
    <row r="540" spans="15:16" x14ac:dyDescent="0.3">
      <c r="O540" s="4">
        <v>7</v>
      </c>
      <c r="P540" s="4">
        <v>70000</v>
      </c>
    </row>
    <row r="541" spans="15:16" x14ac:dyDescent="0.3">
      <c r="O541" s="3">
        <v>7</v>
      </c>
      <c r="P541" s="3">
        <v>70000</v>
      </c>
    </row>
    <row r="542" spans="15:16" x14ac:dyDescent="0.3">
      <c r="O542" s="3">
        <v>7</v>
      </c>
      <c r="P542" s="3">
        <v>72000</v>
      </c>
    </row>
    <row r="543" spans="15:16" x14ac:dyDescent="0.3">
      <c r="O543" s="4">
        <v>7</v>
      </c>
      <c r="P543" s="4">
        <v>72000</v>
      </c>
    </row>
    <row r="544" spans="15:16" x14ac:dyDescent="0.3">
      <c r="O544" s="3">
        <v>7</v>
      </c>
      <c r="P544" s="3">
        <v>72000</v>
      </c>
    </row>
    <row r="545" spans="15:16" x14ac:dyDescent="0.3">
      <c r="O545" s="3">
        <v>7</v>
      </c>
      <c r="P545" s="3">
        <v>72000</v>
      </c>
    </row>
    <row r="546" spans="15:16" x14ac:dyDescent="0.3">
      <c r="O546" s="3">
        <v>7</v>
      </c>
      <c r="P546" s="3">
        <v>72000</v>
      </c>
    </row>
    <row r="547" spans="15:16" x14ac:dyDescent="0.3">
      <c r="O547" s="3">
        <v>7</v>
      </c>
      <c r="P547" s="3">
        <v>72000</v>
      </c>
    </row>
    <row r="548" spans="15:16" x14ac:dyDescent="0.3">
      <c r="O548" s="3">
        <v>7</v>
      </c>
      <c r="P548" s="3">
        <v>72000</v>
      </c>
    </row>
    <row r="549" spans="15:16" x14ac:dyDescent="0.3">
      <c r="O549" s="3">
        <v>7</v>
      </c>
      <c r="P549" s="3">
        <v>75000</v>
      </c>
    </row>
    <row r="550" spans="15:16" x14ac:dyDescent="0.3">
      <c r="O550" s="4">
        <v>7</v>
      </c>
      <c r="P550" s="4">
        <v>75000</v>
      </c>
    </row>
    <row r="551" spans="15:16" x14ac:dyDescent="0.3">
      <c r="O551" s="3">
        <v>7</v>
      </c>
      <c r="P551" s="3">
        <v>75000</v>
      </c>
    </row>
    <row r="552" spans="15:16" x14ac:dyDescent="0.3">
      <c r="O552" s="4">
        <v>7</v>
      </c>
      <c r="P552" s="4">
        <v>76000</v>
      </c>
    </row>
    <row r="553" spans="15:16" x14ac:dyDescent="0.3">
      <c r="O553" s="4">
        <v>7</v>
      </c>
      <c r="P553" s="4">
        <v>76000</v>
      </c>
    </row>
    <row r="554" spans="15:16" x14ac:dyDescent="0.3">
      <c r="O554" s="3">
        <v>7</v>
      </c>
      <c r="P554" s="3">
        <v>78000</v>
      </c>
    </row>
    <row r="555" spans="15:16" x14ac:dyDescent="0.3">
      <c r="O555" s="3">
        <v>7</v>
      </c>
      <c r="P555" s="3">
        <v>78000</v>
      </c>
    </row>
    <row r="556" spans="15:16" x14ac:dyDescent="0.3">
      <c r="O556" s="3">
        <v>7</v>
      </c>
      <c r="P556" s="3">
        <v>80000</v>
      </c>
    </row>
    <row r="557" spans="15:16" x14ac:dyDescent="0.3">
      <c r="O557" s="4">
        <v>7</v>
      </c>
      <c r="P557" s="4">
        <v>80000</v>
      </c>
    </row>
    <row r="558" spans="15:16" x14ac:dyDescent="0.3">
      <c r="O558" s="4">
        <v>7</v>
      </c>
      <c r="P558" s="4">
        <v>80000</v>
      </c>
    </row>
    <row r="559" spans="15:16" x14ac:dyDescent="0.3">
      <c r="O559" s="4">
        <v>7</v>
      </c>
      <c r="P559" s="4">
        <v>80000</v>
      </c>
    </row>
    <row r="560" spans="15:16" x14ac:dyDescent="0.3">
      <c r="O560" s="3">
        <v>7</v>
      </c>
      <c r="P560" s="3">
        <v>80000</v>
      </c>
    </row>
    <row r="561" spans="15:16" x14ac:dyDescent="0.3">
      <c r="O561" s="4">
        <v>7</v>
      </c>
      <c r="P561" s="4">
        <v>80000</v>
      </c>
    </row>
    <row r="562" spans="15:16" x14ac:dyDescent="0.3">
      <c r="O562" s="3">
        <v>7</v>
      </c>
      <c r="P562" s="3">
        <v>80000</v>
      </c>
    </row>
    <row r="563" spans="15:16" x14ac:dyDescent="0.3">
      <c r="O563" s="3">
        <v>7</v>
      </c>
      <c r="P563" s="3">
        <v>80000</v>
      </c>
    </row>
    <row r="564" spans="15:16" x14ac:dyDescent="0.3">
      <c r="O564" s="4">
        <v>7</v>
      </c>
      <c r="P564" s="4">
        <v>80000</v>
      </c>
    </row>
    <row r="565" spans="15:16" x14ac:dyDescent="0.3">
      <c r="O565" s="3">
        <v>7</v>
      </c>
      <c r="P565" s="3">
        <v>80000</v>
      </c>
    </row>
    <row r="566" spans="15:16" x14ac:dyDescent="0.3">
      <c r="O566" s="4">
        <v>7</v>
      </c>
      <c r="P566" s="4">
        <v>80000</v>
      </c>
    </row>
    <row r="567" spans="15:16" x14ac:dyDescent="0.3">
      <c r="O567" s="4">
        <v>7</v>
      </c>
      <c r="P567" s="4">
        <v>82000</v>
      </c>
    </row>
    <row r="568" spans="15:16" x14ac:dyDescent="0.3">
      <c r="O568" s="3">
        <v>7</v>
      </c>
      <c r="P568" s="3">
        <v>82000</v>
      </c>
    </row>
    <row r="569" spans="15:16" x14ac:dyDescent="0.3">
      <c r="O569" s="3">
        <v>7</v>
      </c>
      <c r="P569" s="3">
        <v>83000</v>
      </c>
    </row>
    <row r="570" spans="15:16" x14ac:dyDescent="0.3">
      <c r="O570" s="4">
        <v>7</v>
      </c>
      <c r="P570" s="4">
        <v>85000</v>
      </c>
    </row>
    <row r="571" spans="15:16" x14ac:dyDescent="0.3">
      <c r="O571" s="4">
        <v>7</v>
      </c>
      <c r="P571" s="4">
        <v>86000</v>
      </c>
    </row>
    <row r="572" spans="15:16" x14ac:dyDescent="0.3">
      <c r="O572" s="4">
        <v>7</v>
      </c>
      <c r="P572" s="4">
        <v>90000</v>
      </c>
    </row>
    <row r="573" spans="15:16" x14ac:dyDescent="0.3">
      <c r="O573" s="3">
        <v>7</v>
      </c>
      <c r="P573" s="3">
        <v>90000</v>
      </c>
    </row>
    <row r="574" spans="15:16" x14ac:dyDescent="0.3">
      <c r="O574" s="4">
        <v>7</v>
      </c>
      <c r="P574" s="4">
        <v>95000</v>
      </c>
    </row>
    <row r="575" spans="15:16" x14ac:dyDescent="0.3">
      <c r="O575" s="4">
        <v>7</v>
      </c>
      <c r="P575" s="4">
        <v>100000</v>
      </c>
    </row>
    <row r="576" spans="15:16" x14ac:dyDescent="0.3">
      <c r="O576" s="4">
        <v>7</v>
      </c>
      <c r="P576" s="4">
        <v>100000</v>
      </c>
    </row>
    <row r="577" spans="15:16" x14ac:dyDescent="0.3">
      <c r="O577" s="3">
        <v>7</v>
      </c>
      <c r="P577" s="3">
        <v>108500</v>
      </c>
    </row>
    <row r="578" spans="15:16" x14ac:dyDescent="0.3">
      <c r="O578" s="3">
        <v>7</v>
      </c>
      <c r="P578" s="3">
        <v>150000</v>
      </c>
    </row>
    <row r="579" spans="15:16" x14ac:dyDescent="0.3">
      <c r="O579" s="4">
        <v>7.5</v>
      </c>
      <c r="P579" s="4">
        <v>68000</v>
      </c>
    </row>
    <row r="580" spans="15:16" x14ac:dyDescent="0.3">
      <c r="O580" s="3">
        <v>8</v>
      </c>
      <c r="P580" s="3">
        <v>25000</v>
      </c>
    </row>
    <row r="581" spans="15:16" x14ac:dyDescent="0.3">
      <c r="O581" s="3">
        <v>8</v>
      </c>
      <c r="P581" s="3">
        <v>27000</v>
      </c>
    </row>
    <row r="582" spans="15:16" x14ac:dyDescent="0.3">
      <c r="O582" s="4">
        <v>8</v>
      </c>
      <c r="P582" s="4">
        <v>36000</v>
      </c>
    </row>
    <row r="583" spans="15:16" x14ac:dyDescent="0.3">
      <c r="O583" s="3">
        <v>8</v>
      </c>
      <c r="P583" s="3">
        <v>40000</v>
      </c>
    </row>
    <row r="584" spans="15:16" x14ac:dyDescent="0.3">
      <c r="O584" s="4">
        <v>8</v>
      </c>
      <c r="P584" s="4">
        <v>45000</v>
      </c>
    </row>
    <row r="585" spans="15:16" x14ac:dyDescent="0.3">
      <c r="O585" s="3">
        <v>8</v>
      </c>
      <c r="P585" s="3">
        <v>45000</v>
      </c>
    </row>
    <row r="586" spans="15:16" x14ac:dyDescent="0.3">
      <c r="O586" s="3">
        <v>8</v>
      </c>
      <c r="P586" s="3">
        <v>50000</v>
      </c>
    </row>
    <row r="587" spans="15:16" x14ac:dyDescent="0.3">
      <c r="O587" s="4">
        <v>8</v>
      </c>
      <c r="P587" s="4">
        <v>52000</v>
      </c>
    </row>
    <row r="588" spans="15:16" x14ac:dyDescent="0.3">
      <c r="O588" s="4">
        <v>8</v>
      </c>
      <c r="P588" s="4">
        <v>52000</v>
      </c>
    </row>
    <row r="589" spans="15:16" x14ac:dyDescent="0.3">
      <c r="O589" s="4">
        <v>8</v>
      </c>
      <c r="P589" s="4">
        <v>54000</v>
      </c>
    </row>
    <row r="590" spans="15:16" x14ac:dyDescent="0.3">
      <c r="O590" s="3">
        <v>8</v>
      </c>
      <c r="P590" s="3">
        <v>55000</v>
      </c>
    </row>
    <row r="591" spans="15:16" x14ac:dyDescent="0.3">
      <c r="O591" s="4">
        <v>8</v>
      </c>
      <c r="P591" s="4">
        <v>55000</v>
      </c>
    </row>
    <row r="592" spans="15:16" x14ac:dyDescent="0.3">
      <c r="O592" s="4">
        <v>8</v>
      </c>
      <c r="P592" s="4">
        <v>55000</v>
      </c>
    </row>
    <row r="593" spans="15:16" x14ac:dyDescent="0.3">
      <c r="O593" s="3">
        <v>8</v>
      </c>
      <c r="P593" s="3">
        <v>56000</v>
      </c>
    </row>
    <row r="594" spans="15:16" x14ac:dyDescent="0.3">
      <c r="O594" s="3">
        <v>8</v>
      </c>
      <c r="P594" s="3">
        <v>57000</v>
      </c>
    </row>
    <row r="595" spans="15:16" x14ac:dyDescent="0.3">
      <c r="O595" s="4">
        <v>8</v>
      </c>
      <c r="P595" s="4">
        <v>57000</v>
      </c>
    </row>
    <row r="596" spans="15:16" x14ac:dyDescent="0.3">
      <c r="O596" s="3">
        <v>8</v>
      </c>
      <c r="P596" s="3">
        <v>57000</v>
      </c>
    </row>
    <row r="597" spans="15:16" x14ac:dyDescent="0.3">
      <c r="O597" s="4">
        <v>8</v>
      </c>
      <c r="P597" s="4">
        <v>57760</v>
      </c>
    </row>
    <row r="598" spans="15:16" x14ac:dyDescent="0.3">
      <c r="O598" s="3">
        <v>8</v>
      </c>
      <c r="P598" s="3">
        <v>60000</v>
      </c>
    </row>
    <row r="599" spans="15:16" x14ac:dyDescent="0.3">
      <c r="O599" s="4">
        <v>8</v>
      </c>
      <c r="P599" s="4">
        <v>60000</v>
      </c>
    </row>
    <row r="600" spans="15:16" x14ac:dyDescent="0.3">
      <c r="O600" s="4">
        <v>8</v>
      </c>
      <c r="P600" s="4">
        <v>60000</v>
      </c>
    </row>
    <row r="601" spans="15:16" x14ac:dyDescent="0.3">
      <c r="O601" s="4">
        <v>8</v>
      </c>
      <c r="P601" s="4">
        <v>60000</v>
      </c>
    </row>
    <row r="602" spans="15:16" x14ac:dyDescent="0.3">
      <c r="O602" s="4">
        <v>8</v>
      </c>
      <c r="P602" s="4">
        <v>60000</v>
      </c>
    </row>
    <row r="603" spans="15:16" x14ac:dyDescent="0.3">
      <c r="O603" s="4">
        <v>8</v>
      </c>
      <c r="P603" s="4">
        <v>60000</v>
      </c>
    </row>
    <row r="604" spans="15:16" x14ac:dyDescent="0.3">
      <c r="O604" s="3">
        <v>8</v>
      </c>
      <c r="P604" s="3">
        <v>60000</v>
      </c>
    </row>
    <row r="605" spans="15:16" x14ac:dyDescent="0.3">
      <c r="O605" s="3">
        <v>8</v>
      </c>
      <c r="P605" s="3">
        <v>60000</v>
      </c>
    </row>
    <row r="606" spans="15:16" x14ac:dyDescent="0.3">
      <c r="O606" s="4">
        <v>8</v>
      </c>
      <c r="P606" s="4">
        <v>60000</v>
      </c>
    </row>
    <row r="607" spans="15:16" x14ac:dyDescent="0.3">
      <c r="O607" s="3">
        <v>8</v>
      </c>
      <c r="P607" s="3">
        <v>60000</v>
      </c>
    </row>
    <row r="608" spans="15:16" x14ac:dyDescent="0.3">
      <c r="O608" s="4">
        <v>8</v>
      </c>
      <c r="P608" s="4">
        <v>60000</v>
      </c>
    </row>
    <row r="609" spans="15:16" x14ac:dyDescent="0.3">
      <c r="O609" s="4">
        <v>8</v>
      </c>
      <c r="P609" s="4">
        <v>62000</v>
      </c>
    </row>
    <row r="610" spans="15:16" x14ac:dyDescent="0.3">
      <c r="O610" s="4">
        <v>8</v>
      </c>
      <c r="P610" s="4">
        <v>63000</v>
      </c>
    </row>
    <row r="611" spans="15:16" x14ac:dyDescent="0.3">
      <c r="O611" s="3">
        <v>8</v>
      </c>
      <c r="P611" s="3">
        <v>64000</v>
      </c>
    </row>
    <row r="612" spans="15:16" x14ac:dyDescent="0.3">
      <c r="O612" s="3">
        <v>8</v>
      </c>
      <c r="P612" s="3">
        <v>65000</v>
      </c>
    </row>
    <row r="613" spans="15:16" x14ac:dyDescent="0.3">
      <c r="O613" s="3">
        <v>8</v>
      </c>
      <c r="P613" s="3">
        <v>65000</v>
      </c>
    </row>
    <row r="614" spans="15:16" x14ac:dyDescent="0.3">
      <c r="O614" s="3">
        <v>8</v>
      </c>
      <c r="P614" s="3">
        <v>65000</v>
      </c>
    </row>
    <row r="615" spans="15:16" x14ac:dyDescent="0.3">
      <c r="O615" s="3">
        <v>8</v>
      </c>
      <c r="P615" s="3">
        <v>65000</v>
      </c>
    </row>
    <row r="616" spans="15:16" x14ac:dyDescent="0.3">
      <c r="O616" s="4">
        <v>8</v>
      </c>
      <c r="P616" s="4">
        <v>65000</v>
      </c>
    </row>
    <row r="617" spans="15:16" x14ac:dyDescent="0.3">
      <c r="O617" s="4">
        <v>8</v>
      </c>
      <c r="P617" s="4">
        <v>65000</v>
      </c>
    </row>
    <row r="618" spans="15:16" x14ac:dyDescent="0.3">
      <c r="O618" s="4">
        <v>8</v>
      </c>
      <c r="P618" s="4">
        <v>65400</v>
      </c>
    </row>
    <row r="619" spans="15:16" x14ac:dyDescent="0.3">
      <c r="O619" s="4">
        <v>8</v>
      </c>
      <c r="P619" s="4">
        <v>66000</v>
      </c>
    </row>
    <row r="620" spans="15:16" x14ac:dyDescent="0.3">
      <c r="O620" s="3">
        <v>8</v>
      </c>
      <c r="P620" s="3">
        <v>67000</v>
      </c>
    </row>
    <row r="621" spans="15:16" x14ac:dyDescent="0.3">
      <c r="O621" s="3">
        <v>8</v>
      </c>
      <c r="P621" s="3">
        <v>67000</v>
      </c>
    </row>
    <row r="622" spans="15:16" x14ac:dyDescent="0.3">
      <c r="O622" s="4">
        <v>8</v>
      </c>
      <c r="P622" s="4">
        <v>67000</v>
      </c>
    </row>
    <row r="623" spans="15:16" x14ac:dyDescent="0.3">
      <c r="O623" s="4">
        <v>8</v>
      </c>
      <c r="P623" s="4">
        <v>67200</v>
      </c>
    </row>
    <row r="624" spans="15:16" x14ac:dyDescent="0.3">
      <c r="O624" s="4">
        <v>8</v>
      </c>
      <c r="P624" s="4">
        <v>67500</v>
      </c>
    </row>
    <row r="625" spans="15:16" x14ac:dyDescent="0.3">
      <c r="O625" s="3">
        <v>8</v>
      </c>
      <c r="P625" s="3">
        <v>68000</v>
      </c>
    </row>
    <row r="626" spans="15:16" x14ac:dyDescent="0.3">
      <c r="O626" s="3">
        <v>8</v>
      </c>
      <c r="P626" s="3">
        <v>68000</v>
      </c>
    </row>
    <row r="627" spans="15:16" x14ac:dyDescent="0.3">
      <c r="O627" s="3">
        <v>8</v>
      </c>
      <c r="P627" s="3">
        <v>68000</v>
      </c>
    </row>
    <row r="628" spans="15:16" x14ac:dyDescent="0.3">
      <c r="O628" s="3">
        <v>8</v>
      </c>
      <c r="P628" s="3">
        <v>69000</v>
      </c>
    </row>
    <row r="629" spans="15:16" x14ac:dyDescent="0.3">
      <c r="O629" s="3">
        <v>8</v>
      </c>
      <c r="P629" s="3">
        <v>70000</v>
      </c>
    </row>
    <row r="630" spans="15:16" x14ac:dyDescent="0.3">
      <c r="O630" s="4">
        <v>8</v>
      </c>
      <c r="P630" s="4">
        <v>70000</v>
      </c>
    </row>
    <row r="631" spans="15:16" x14ac:dyDescent="0.3">
      <c r="O631" s="4">
        <v>8</v>
      </c>
      <c r="P631" s="4">
        <v>70000</v>
      </c>
    </row>
    <row r="632" spans="15:16" x14ac:dyDescent="0.3">
      <c r="O632" s="3">
        <v>8</v>
      </c>
      <c r="P632" s="3">
        <v>70200</v>
      </c>
    </row>
    <row r="633" spans="15:16" x14ac:dyDescent="0.3">
      <c r="O633" s="4">
        <v>8</v>
      </c>
      <c r="P633" s="4">
        <v>71000</v>
      </c>
    </row>
    <row r="634" spans="15:16" x14ac:dyDescent="0.3">
      <c r="O634" s="4">
        <v>8</v>
      </c>
      <c r="P634" s="4">
        <v>72000</v>
      </c>
    </row>
    <row r="635" spans="15:16" x14ac:dyDescent="0.3">
      <c r="O635" s="3">
        <v>8</v>
      </c>
      <c r="P635" s="3">
        <v>72000</v>
      </c>
    </row>
    <row r="636" spans="15:16" x14ac:dyDescent="0.3">
      <c r="O636" s="4">
        <v>8</v>
      </c>
      <c r="P636" s="4">
        <v>73000</v>
      </c>
    </row>
    <row r="637" spans="15:16" x14ac:dyDescent="0.3">
      <c r="O637" s="4">
        <v>8</v>
      </c>
      <c r="P637" s="4">
        <v>73000</v>
      </c>
    </row>
    <row r="638" spans="15:16" x14ac:dyDescent="0.3">
      <c r="O638" s="3">
        <v>8</v>
      </c>
      <c r="P638" s="3">
        <v>74000</v>
      </c>
    </row>
    <row r="639" spans="15:16" x14ac:dyDescent="0.3">
      <c r="O639" s="4">
        <v>8</v>
      </c>
      <c r="P639" s="4">
        <v>75000</v>
      </c>
    </row>
    <row r="640" spans="15:16" x14ac:dyDescent="0.3">
      <c r="O640" s="3">
        <v>8</v>
      </c>
      <c r="P640" s="3">
        <v>75000</v>
      </c>
    </row>
    <row r="641" spans="15:16" x14ac:dyDescent="0.3">
      <c r="O641" s="3">
        <v>8</v>
      </c>
      <c r="P641" s="3">
        <v>75000</v>
      </c>
    </row>
    <row r="642" spans="15:16" x14ac:dyDescent="0.3">
      <c r="O642" s="3">
        <v>8</v>
      </c>
      <c r="P642" s="3">
        <v>75000</v>
      </c>
    </row>
    <row r="643" spans="15:16" x14ac:dyDescent="0.3">
      <c r="O643" s="4">
        <v>8</v>
      </c>
      <c r="P643" s="4">
        <v>75000</v>
      </c>
    </row>
    <row r="644" spans="15:16" x14ac:dyDescent="0.3">
      <c r="O644" s="3">
        <v>8</v>
      </c>
      <c r="P644" s="3">
        <v>75000</v>
      </c>
    </row>
    <row r="645" spans="15:16" x14ac:dyDescent="0.3">
      <c r="O645" s="4">
        <v>8</v>
      </c>
      <c r="P645" s="4">
        <v>75000</v>
      </c>
    </row>
    <row r="646" spans="15:16" x14ac:dyDescent="0.3">
      <c r="O646" s="3">
        <v>8</v>
      </c>
      <c r="P646" s="3">
        <v>75000</v>
      </c>
    </row>
    <row r="647" spans="15:16" x14ac:dyDescent="0.3">
      <c r="O647" s="4">
        <v>8</v>
      </c>
      <c r="P647" s="4">
        <v>75000</v>
      </c>
    </row>
    <row r="648" spans="15:16" x14ac:dyDescent="0.3">
      <c r="O648" s="3">
        <v>8</v>
      </c>
      <c r="P648" s="3">
        <v>75000</v>
      </c>
    </row>
    <row r="649" spans="15:16" x14ac:dyDescent="0.3">
      <c r="O649" s="4">
        <v>8</v>
      </c>
      <c r="P649" s="4">
        <v>75000</v>
      </c>
    </row>
    <row r="650" spans="15:16" x14ac:dyDescent="0.3">
      <c r="O650" s="3">
        <v>8</v>
      </c>
      <c r="P650" s="3">
        <v>76900</v>
      </c>
    </row>
    <row r="651" spans="15:16" x14ac:dyDescent="0.3">
      <c r="O651" s="4">
        <v>8</v>
      </c>
      <c r="P651" s="4">
        <v>77000</v>
      </c>
    </row>
    <row r="652" spans="15:16" x14ac:dyDescent="0.3">
      <c r="O652" s="3">
        <v>8</v>
      </c>
      <c r="P652" s="3">
        <v>77000</v>
      </c>
    </row>
    <row r="653" spans="15:16" x14ac:dyDescent="0.3">
      <c r="O653" s="4">
        <v>8</v>
      </c>
      <c r="P653" s="4">
        <v>77250</v>
      </c>
    </row>
    <row r="654" spans="15:16" x14ac:dyDescent="0.3">
      <c r="O654" s="3">
        <v>8</v>
      </c>
      <c r="P654" s="3">
        <v>79000</v>
      </c>
    </row>
    <row r="655" spans="15:16" x14ac:dyDescent="0.3">
      <c r="O655" s="4">
        <v>8</v>
      </c>
      <c r="P655" s="4">
        <v>80000</v>
      </c>
    </row>
    <row r="656" spans="15:16" x14ac:dyDescent="0.3">
      <c r="O656" s="4">
        <v>8</v>
      </c>
      <c r="P656" s="4">
        <v>80000</v>
      </c>
    </row>
    <row r="657" spans="15:16" x14ac:dyDescent="0.3">
      <c r="O657" s="3">
        <v>8</v>
      </c>
      <c r="P657" s="3">
        <v>80000</v>
      </c>
    </row>
    <row r="658" spans="15:16" x14ac:dyDescent="0.3">
      <c r="O658" s="4">
        <v>8</v>
      </c>
      <c r="P658" s="4">
        <v>80000</v>
      </c>
    </row>
    <row r="659" spans="15:16" x14ac:dyDescent="0.3">
      <c r="O659" s="4">
        <v>8</v>
      </c>
      <c r="P659" s="4">
        <v>80000</v>
      </c>
    </row>
    <row r="660" spans="15:16" x14ac:dyDescent="0.3">
      <c r="O660" s="4">
        <v>8</v>
      </c>
      <c r="P660" s="4">
        <v>80000</v>
      </c>
    </row>
    <row r="661" spans="15:16" x14ac:dyDescent="0.3">
      <c r="O661" s="4">
        <v>8</v>
      </c>
      <c r="P661" s="4">
        <v>82500</v>
      </c>
    </row>
    <row r="662" spans="15:16" x14ac:dyDescent="0.3">
      <c r="O662" s="4">
        <v>8</v>
      </c>
      <c r="P662" s="4">
        <v>83000</v>
      </c>
    </row>
    <row r="663" spans="15:16" x14ac:dyDescent="0.3">
      <c r="O663" s="4">
        <v>8</v>
      </c>
      <c r="P663" s="4">
        <v>85000</v>
      </c>
    </row>
    <row r="664" spans="15:16" x14ac:dyDescent="0.3">
      <c r="O664" s="3">
        <v>8</v>
      </c>
      <c r="P664" s="3">
        <v>85000</v>
      </c>
    </row>
    <row r="665" spans="15:16" x14ac:dyDescent="0.3">
      <c r="O665" s="3">
        <v>8</v>
      </c>
      <c r="P665" s="3">
        <v>85000</v>
      </c>
    </row>
    <row r="666" spans="15:16" x14ac:dyDescent="0.3">
      <c r="O666" s="3">
        <v>8</v>
      </c>
      <c r="P666" s="3">
        <v>90000</v>
      </c>
    </row>
    <row r="667" spans="15:16" x14ac:dyDescent="0.3">
      <c r="O667" s="4">
        <v>8</v>
      </c>
      <c r="P667" s="4">
        <v>90000</v>
      </c>
    </row>
    <row r="668" spans="15:16" x14ac:dyDescent="0.3">
      <c r="O668" s="4">
        <v>8</v>
      </c>
      <c r="P668" s="4">
        <v>95000</v>
      </c>
    </row>
    <row r="669" spans="15:16" x14ac:dyDescent="0.3">
      <c r="O669" s="4">
        <v>8</v>
      </c>
      <c r="P669" s="4">
        <v>105000</v>
      </c>
    </row>
    <row r="670" spans="15:16" x14ac:dyDescent="0.3">
      <c r="O670" s="3">
        <v>8</v>
      </c>
      <c r="P670" s="3">
        <v>110000</v>
      </c>
    </row>
    <row r="671" spans="15:16" x14ac:dyDescent="0.3">
      <c r="O671" s="4">
        <v>8</v>
      </c>
      <c r="P671" s="4">
        <v>130000</v>
      </c>
    </row>
    <row r="672" spans="15:16" x14ac:dyDescent="0.3">
      <c r="O672" s="3">
        <v>9</v>
      </c>
      <c r="P672" s="3">
        <v>50000</v>
      </c>
    </row>
    <row r="673" spans="15:16" x14ac:dyDescent="0.3">
      <c r="O673" s="3">
        <v>9</v>
      </c>
      <c r="P673" s="3">
        <v>57000</v>
      </c>
    </row>
    <row r="674" spans="15:16" x14ac:dyDescent="0.3">
      <c r="O674" s="3">
        <v>9</v>
      </c>
      <c r="P674" s="3">
        <v>60000</v>
      </c>
    </row>
    <row r="675" spans="15:16" x14ac:dyDescent="0.3">
      <c r="O675" s="4">
        <v>9</v>
      </c>
      <c r="P675" s="4">
        <v>60000</v>
      </c>
    </row>
    <row r="676" spans="15:16" x14ac:dyDescent="0.3">
      <c r="O676" s="4">
        <v>9</v>
      </c>
      <c r="P676" s="4">
        <v>60000</v>
      </c>
    </row>
    <row r="677" spans="15:16" x14ac:dyDescent="0.3">
      <c r="O677" s="3">
        <v>9</v>
      </c>
      <c r="P677" s="3">
        <v>60000</v>
      </c>
    </row>
    <row r="678" spans="15:16" x14ac:dyDescent="0.3">
      <c r="O678" s="3">
        <v>9</v>
      </c>
      <c r="P678" s="3">
        <v>60000</v>
      </c>
    </row>
    <row r="679" spans="15:16" x14ac:dyDescent="0.3">
      <c r="O679" s="4">
        <v>9</v>
      </c>
      <c r="P679" s="4">
        <v>60000</v>
      </c>
    </row>
    <row r="680" spans="15:16" x14ac:dyDescent="0.3">
      <c r="O680" s="3">
        <v>9</v>
      </c>
      <c r="P680" s="3">
        <v>60000</v>
      </c>
    </row>
    <row r="681" spans="15:16" x14ac:dyDescent="0.3">
      <c r="O681" s="4">
        <v>9</v>
      </c>
      <c r="P681" s="4">
        <v>60000</v>
      </c>
    </row>
    <row r="682" spans="15:16" x14ac:dyDescent="0.3">
      <c r="O682" s="3">
        <v>9</v>
      </c>
      <c r="P682" s="3">
        <v>60000</v>
      </c>
    </row>
    <row r="683" spans="15:16" x14ac:dyDescent="0.3">
      <c r="O683" s="3">
        <v>9</v>
      </c>
      <c r="P683" s="3">
        <v>60000</v>
      </c>
    </row>
    <row r="684" spans="15:16" x14ac:dyDescent="0.3">
      <c r="O684" s="3">
        <v>9</v>
      </c>
      <c r="P684" s="3">
        <v>60000</v>
      </c>
    </row>
    <row r="685" spans="15:16" x14ac:dyDescent="0.3">
      <c r="O685" s="3">
        <v>9</v>
      </c>
      <c r="P685" s="3">
        <v>60000</v>
      </c>
    </row>
    <row r="686" spans="15:16" x14ac:dyDescent="0.3">
      <c r="O686" s="3">
        <v>9</v>
      </c>
      <c r="P686" s="3">
        <v>60000</v>
      </c>
    </row>
    <row r="687" spans="15:16" x14ac:dyDescent="0.3">
      <c r="O687" s="4">
        <v>9</v>
      </c>
      <c r="P687" s="4">
        <v>61200</v>
      </c>
    </row>
    <row r="688" spans="15:16" x14ac:dyDescent="0.3">
      <c r="O688" s="4">
        <v>9</v>
      </c>
      <c r="P688" s="4">
        <v>62000</v>
      </c>
    </row>
    <row r="689" spans="15:16" x14ac:dyDescent="0.3">
      <c r="O689" s="3">
        <v>9</v>
      </c>
      <c r="P689" s="3">
        <v>63000</v>
      </c>
    </row>
    <row r="690" spans="15:16" x14ac:dyDescent="0.3">
      <c r="O690" s="4">
        <v>9</v>
      </c>
      <c r="P690" s="4">
        <v>64000</v>
      </c>
    </row>
    <row r="691" spans="15:16" x14ac:dyDescent="0.3">
      <c r="O691" s="4">
        <v>9</v>
      </c>
      <c r="P691" s="4">
        <v>65000</v>
      </c>
    </row>
    <row r="692" spans="15:16" x14ac:dyDescent="0.3">
      <c r="O692" s="4">
        <v>9</v>
      </c>
      <c r="P692" s="4">
        <v>66000</v>
      </c>
    </row>
    <row r="693" spans="15:16" x14ac:dyDescent="0.3">
      <c r="O693" s="3">
        <v>9</v>
      </c>
      <c r="P693" s="3">
        <v>66000</v>
      </c>
    </row>
    <row r="694" spans="15:16" x14ac:dyDescent="0.3">
      <c r="O694" s="4">
        <v>9</v>
      </c>
      <c r="P694" s="4">
        <v>67473</v>
      </c>
    </row>
    <row r="695" spans="15:16" x14ac:dyDescent="0.3">
      <c r="O695" s="3">
        <v>9</v>
      </c>
      <c r="P695" s="3">
        <v>70000</v>
      </c>
    </row>
    <row r="696" spans="15:16" x14ac:dyDescent="0.3">
      <c r="O696" s="4">
        <v>9</v>
      </c>
      <c r="P696" s="4">
        <v>70000</v>
      </c>
    </row>
    <row r="697" spans="15:16" x14ac:dyDescent="0.3">
      <c r="O697" s="4">
        <v>9</v>
      </c>
      <c r="P697" s="4">
        <v>70800</v>
      </c>
    </row>
    <row r="698" spans="15:16" x14ac:dyDescent="0.3">
      <c r="O698" s="4">
        <v>9</v>
      </c>
      <c r="P698" s="4">
        <v>72000</v>
      </c>
    </row>
    <row r="699" spans="15:16" x14ac:dyDescent="0.3">
      <c r="O699" s="4">
        <v>9</v>
      </c>
      <c r="P699" s="4">
        <v>73000</v>
      </c>
    </row>
    <row r="700" spans="15:16" x14ac:dyDescent="0.3">
      <c r="O700" s="4">
        <v>9</v>
      </c>
      <c r="P700" s="4">
        <v>73000</v>
      </c>
    </row>
    <row r="701" spans="15:16" x14ac:dyDescent="0.3">
      <c r="O701" s="4">
        <v>9</v>
      </c>
      <c r="P701" s="4">
        <v>74000</v>
      </c>
    </row>
    <row r="702" spans="15:16" x14ac:dyDescent="0.3">
      <c r="O702" s="4">
        <v>9</v>
      </c>
      <c r="P702" s="4">
        <v>74000</v>
      </c>
    </row>
    <row r="703" spans="15:16" x14ac:dyDescent="0.3">
      <c r="O703" s="4">
        <v>9</v>
      </c>
      <c r="P703" s="4">
        <v>75000</v>
      </c>
    </row>
    <row r="704" spans="15:16" x14ac:dyDescent="0.3">
      <c r="O704" s="3">
        <v>9</v>
      </c>
      <c r="P704" s="3">
        <v>75000</v>
      </c>
    </row>
    <row r="705" spans="15:16" x14ac:dyDescent="0.3">
      <c r="O705" s="4">
        <v>9</v>
      </c>
      <c r="P705" s="4">
        <v>75000</v>
      </c>
    </row>
    <row r="706" spans="15:16" x14ac:dyDescent="0.3">
      <c r="O706" s="4">
        <v>9</v>
      </c>
      <c r="P706" s="4">
        <v>75000</v>
      </c>
    </row>
    <row r="707" spans="15:16" x14ac:dyDescent="0.3">
      <c r="O707" s="4">
        <v>9</v>
      </c>
      <c r="P707" s="4">
        <v>76000</v>
      </c>
    </row>
    <row r="708" spans="15:16" x14ac:dyDescent="0.3">
      <c r="O708" s="3">
        <v>9</v>
      </c>
      <c r="P708" s="3">
        <v>77000</v>
      </c>
    </row>
    <row r="709" spans="15:16" x14ac:dyDescent="0.3">
      <c r="O709" s="3">
        <v>9</v>
      </c>
      <c r="P709" s="3">
        <v>77000</v>
      </c>
    </row>
    <row r="710" spans="15:16" x14ac:dyDescent="0.3">
      <c r="O710" s="4">
        <v>9</v>
      </c>
      <c r="P710" s="4">
        <v>78000</v>
      </c>
    </row>
    <row r="711" spans="15:16" x14ac:dyDescent="0.3">
      <c r="O711" s="3">
        <v>9</v>
      </c>
      <c r="P711" s="3">
        <v>80000</v>
      </c>
    </row>
    <row r="712" spans="15:16" x14ac:dyDescent="0.3">
      <c r="O712" s="3">
        <v>9</v>
      </c>
      <c r="P712" s="3">
        <v>81000</v>
      </c>
    </row>
    <row r="713" spans="15:16" x14ac:dyDescent="0.3">
      <c r="O713" s="3">
        <v>9</v>
      </c>
      <c r="P713" s="3">
        <v>81900</v>
      </c>
    </row>
    <row r="714" spans="15:16" x14ac:dyDescent="0.3">
      <c r="O714" s="4">
        <v>9</v>
      </c>
      <c r="P714" s="4">
        <v>85000</v>
      </c>
    </row>
    <row r="715" spans="15:16" x14ac:dyDescent="0.3">
      <c r="O715" s="4">
        <v>9</v>
      </c>
      <c r="P715" s="4">
        <v>85000</v>
      </c>
    </row>
    <row r="716" spans="15:16" x14ac:dyDescent="0.3">
      <c r="O716" s="4">
        <v>9</v>
      </c>
      <c r="P716" s="4">
        <v>85000</v>
      </c>
    </row>
    <row r="717" spans="15:16" x14ac:dyDescent="0.3">
      <c r="O717" s="4">
        <v>9</v>
      </c>
      <c r="P717" s="4">
        <v>85000</v>
      </c>
    </row>
    <row r="718" spans="15:16" x14ac:dyDescent="0.3">
      <c r="O718" s="3">
        <v>9</v>
      </c>
      <c r="P718" s="3">
        <v>85000</v>
      </c>
    </row>
    <row r="719" spans="15:16" x14ac:dyDescent="0.3">
      <c r="O719" s="3">
        <v>9</v>
      </c>
      <c r="P719" s="3">
        <v>88000</v>
      </c>
    </row>
    <row r="720" spans="15:16" x14ac:dyDescent="0.3">
      <c r="O720" s="3">
        <v>9</v>
      </c>
      <c r="P720" s="3">
        <v>90000</v>
      </c>
    </row>
    <row r="721" spans="15:16" x14ac:dyDescent="0.3">
      <c r="O721" s="3">
        <v>9</v>
      </c>
      <c r="P721" s="3">
        <v>90000</v>
      </c>
    </row>
    <row r="722" spans="15:16" x14ac:dyDescent="0.3">
      <c r="O722" s="3">
        <v>9</v>
      </c>
      <c r="P722" s="3">
        <v>90000</v>
      </c>
    </row>
    <row r="723" spans="15:16" x14ac:dyDescent="0.3">
      <c r="O723" s="3">
        <v>9</v>
      </c>
      <c r="P723" s="3">
        <v>90000</v>
      </c>
    </row>
    <row r="724" spans="15:16" x14ac:dyDescent="0.3">
      <c r="O724" s="4">
        <v>9</v>
      </c>
      <c r="P724" s="4">
        <v>90000</v>
      </c>
    </row>
    <row r="725" spans="15:16" x14ac:dyDescent="0.3">
      <c r="O725" s="3">
        <v>9</v>
      </c>
      <c r="P725" s="3">
        <v>90000</v>
      </c>
    </row>
    <row r="726" spans="15:16" x14ac:dyDescent="0.3">
      <c r="O726" s="3">
        <v>9</v>
      </c>
      <c r="P726" s="3">
        <v>92500</v>
      </c>
    </row>
    <row r="727" spans="15:16" x14ac:dyDescent="0.3">
      <c r="O727" s="4">
        <v>9</v>
      </c>
      <c r="P727" s="4">
        <v>95000</v>
      </c>
    </row>
    <row r="728" spans="15:16" x14ac:dyDescent="0.3">
      <c r="O728" s="4">
        <v>9</v>
      </c>
      <c r="P728" s="4">
        <v>99000</v>
      </c>
    </row>
    <row r="729" spans="15:16" x14ac:dyDescent="0.3">
      <c r="O729" s="3">
        <v>9</v>
      </c>
      <c r="P729" s="3">
        <v>100000</v>
      </c>
    </row>
    <row r="730" spans="15:16" x14ac:dyDescent="0.3">
      <c r="O730" s="4">
        <v>9</v>
      </c>
      <c r="P730" s="4">
        <v>113000</v>
      </c>
    </row>
    <row r="731" spans="15:16" x14ac:dyDescent="0.3">
      <c r="O731" s="3">
        <v>9</v>
      </c>
      <c r="P731" s="3">
        <v>120000</v>
      </c>
    </row>
    <row r="732" spans="15:16" x14ac:dyDescent="0.3">
      <c r="O732" s="4">
        <v>10</v>
      </c>
      <c r="P732" s="4">
        <v>26400</v>
      </c>
    </row>
    <row r="733" spans="15:16" x14ac:dyDescent="0.3">
      <c r="O733" s="3">
        <v>10</v>
      </c>
      <c r="P733" s="3">
        <v>42000</v>
      </c>
    </row>
    <row r="734" spans="15:16" x14ac:dyDescent="0.3">
      <c r="O734" s="4">
        <v>10</v>
      </c>
      <c r="P734" s="4">
        <v>45000</v>
      </c>
    </row>
    <row r="735" spans="15:16" x14ac:dyDescent="0.3">
      <c r="O735" s="4">
        <v>10</v>
      </c>
      <c r="P735" s="4">
        <v>45000</v>
      </c>
    </row>
    <row r="736" spans="15:16" x14ac:dyDescent="0.3">
      <c r="O736" s="3">
        <v>10</v>
      </c>
      <c r="P736" s="3">
        <v>47500</v>
      </c>
    </row>
    <row r="737" spans="15:16" x14ac:dyDescent="0.3">
      <c r="O737" s="4">
        <v>10</v>
      </c>
      <c r="P737" s="4">
        <v>48000</v>
      </c>
    </row>
    <row r="738" spans="15:16" x14ac:dyDescent="0.3">
      <c r="O738" s="3">
        <v>10</v>
      </c>
      <c r="P738" s="3">
        <v>49000</v>
      </c>
    </row>
    <row r="739" spans="15:16" x14ac:dyDescent="0.3">
      <c r="O739" s="3">
        <v>10</v>
      </c>
      <c r="P739" s="3">
        <v>50400</v>
      </c>
    </row>
    <row r="740" spans="15:16" x14ac:dyDescent="0.3">
      <c r="O740" s="3">
        <v>10</v>
      </c>
      <c r="P740" s="3">
        <v>55000</v>
      </c>
    </row>
    <row r="741" spans="15:16" x14ac:dyDescent="0.3">
      <c r="O741" s="4">
        <v>10</v>
      </c>
      <c r="P741" s="4">
        <v>55000</v>
      </c>
    </row>
    <row r="742" spans="15:16" x14ac:dyDescent="0.3">
      <c r="O742" s="3">
        <v>10</v>
      </c>
      <c r="P742" s="3">
        <v>55000</v>
      </c>
    </row>
    <row r="743" spans="15:16" x14ac:dyDescent="0.3">
      <c r="O743" s="3">
        <v>10</v>
      </c>
      <c r="P743" s="3">
        <v>56000</v>
      </c>
    </row>
    <row r="744" spans="15:16" x14ac:dyDescent="0.3">
      <c r="O744" s="4">
        <v>10</v>
      </c>
      <c r="P744" s="4">
        <v>57600</v>
      </c>
    </row>
    <row r="745" spans="15:16" x14ac:dyDescent="0.3">
      <c r="O745" s="3">
        <v>10</v>
      </c>
      <c r="P745" s="3">
        <v>60000</v>
      </c>
    </row>
    <row r="746" spans="15:16" x14ac:dyDescent="0.3">
      <c r="O746" s="4">
        <v>10</v>
      </c>
      <c r="P746" s="4">
        <v>60000</v>
      </c>
    </row>
    <row r="747" spans="15:16" x14ac:dyDescent="0.3">
      <c r="O747" s="4">
        <v>10</v>
      </c>
      <c r="P747" s="4">
        <v>60000</v>
      </c>
    </row>
    <row r="748" spans="15:16" x14ac:dyDescent="0.3">
      <c r="O748" s="4">
        <v>10</v>
      </c>
      <c r="P748" s="4">
        <v>60000</v>
      </c>
    </row>
    <row r="749" spans="15:16" x14ac:dyDescent="0.3">
      <c r="O749" s="4">
        <v>10</v>
      </c>
      <c r="P749" s="4">
        <v>60000</v>
      </c>
    </row>
    <row r="750" spans="15:16" x14ac:dyDescent="0.3">
      <c r="O750" s="3">
        <v>10</v>
      </c>
      <c r="P750" s="3">
        <v>60000</v>
      </c>
    </row>
    <row r="751" spans="15:16" x14ac:dyDescent="0.3">
      <c r="O751" s="4">
        <v>10</v>
      </c>
      <c r="P751" s="4">
        <v>60000</v>
      </c>
    </row>
    <row r="752" spans="15:16" x14ac:dyDescent="0.3">
      <c r="O752" s="3">
        <v>10</v>
      </c>
      <c r="P752" s="3">
        <v>61000</v>
      </c>
    </row>
    <row r="753" spans="15:16" x14ac:dyDescent="0.3">
      <c r="O753" s="4">
        <v>10</v>
      </c>
      <c r="P753" s="4">
        <v>62000</v>
      </c>
    </row>
    <row r="754" spans="15:16" x14ac:dyDescent="0.3">
      <c r="O754" s="3">
        <v>10</v>
      </c>
      <c r="P754" s="3">
        <v>62000</v>
      </c>
    </row>
    <row r="755" spans="15:16" x14ac:dyDescent="0.3">
      <c r="O755" s="4">
        <v>10</v>
      </c>
      <c r="P755" s="4">
        <v>62000</v>
      </c>
    </row>
    <row r="756" spans="15:16" x14ac:dyDescent="0.3">
      <c r="O756" s="4">
        <v>10</v>
      </c>
      <c r="P756" s="4">
        <v>62000</v>
      </c>
    </row>
    <row r="757" spans="15:16" x14ac:dyDescent="0.3">
      <c r="O757" s="3">
        <v>10</v>
      </c>
      <c r="P757" s="3">
        <v>63500</v>
      </c>
    </row>
    <row r="758" spans="15:16" x14ac:dyDescent="0.3">
      <c r="O758" s="4">
        <v>10</v>
      </c>
      <c r="P758" s="4">
        <v>65000</v>
      </c>
    </row>
    <row r="759" spans="15:16" x14ac:dyDescent="0.3">
      <c r="O759" s="3">
        <v>10</v>
      </c>
      <c r="P759" s="3">
        <v>65000</v>
      </c>
    </row>
    <row r="760" spans="15:16" x14ac:dyDescent="0.3">
      <c r="O760" s="4">
        <v>10</v>
      </c>
      <c r="P760" s="4">
        <v>65000</v>
      </c>
    </row>
    <row r="761" spans="15:16" x14ac:dyDescent="0.3">
      <c r="O761" s="4">
        <v>10</v>
      </c>
      <c r="P761" s="4">
        <v>65000</v>
      </c>
    </row>
    <row r="762" spans="15:16" x14ac:dyDescent="0.3">
      <c r="O762" s="3">
        <v>10</v>
      </c>
      <c r="P762" s="3">
        <v>65000</v>
      </c>
    </row>
    <row r="763" spans="15:16" x14ac:dyDescent="0.3">
      <c r="O763" s="3">
        <v>10</v>
      </c>
      <c r="P763" s="3">
        <v>65000</v>
      </c>
    </row>
    <row r="764" spans="15:16" x14ac:dyDescent="0.3">
      <c r="O764" s="4">
        <v>10</v>
      </c>
      <c r="P764" s="4">
        <v>65000</v>
      </c>
    </row>
    <row r="765" spans="15:16" x14ac:dyDescent="0.3">
      <c r="O765" s="3">
        <v>10</v>
      </c>
      <c r="P765" s="3">
        <v>65000</v>
      </c>
    </row>
    <row r="766" spans="15:16" x14ac:dyDescent="0.3">
      <c r="O766" s="4">
        <v>10</v>
      </c>
      <c r="P766" s="4">
        <v>65600</v>
      </c>
    </row>
    <row r="767" spans="15:16" x14ac:dyDescent="0.3">
      <c r="O767" s="4">
        <v>10</v>
      </c>
      <c r="P767" s="4">
        <v>66000</v>
      </c>
    </row>
    <row r="768" spans="15:16" x14ac:dyDescent="0.3">
      <c r="O768" s="3">
        <v>10</v>
      </c>
      <c r="P768" s="3">
        <v>67000</v>
      </c>
    </row>
    <row r="769" spans="15:16" x14ac:dyDescent="0.3">
      <c r="O769" s="3">
        <v>10</v>
      </c>
      <c r="P769" s="3">
        <v>68000</v>
      </c>
    </row>
    <row r="770" spans="15:16" x14ac:dyDescent="0.3">
      <c r="O770" s="4">
        <v>10</v>
      </c>
      <c r="P770" s="4">
        <v>68000</v>
      </c>
    </row>
    <row r="771" spans="15:16" x14ac:dyDescent="0.3">
      <c r="O771" s="4">
        <v>10</v>
      </c>
      <c r="P771" s="4">
        <v>68000</v>
      </c>
    </row>
    <row r="772" spans="15:16" x14ac:dyDescent="0.3">
      <c r="O772" s="3">
        <v>10</v>
      </c>
      <c r="P772" s="3">
        <v>68000</v>
      </c>
    </row>
    <row r="773" spans="15:16" x14ac:dyDescent="0.3">
      <c r="O773" s="3">
        <v>10</v>
      </c>
      <c r="P773" s="3">
        <v>68000</v>
      </c>
    </row>
    <row r="774" spans="15:16" x14ac:dyDescent="0.3">
      <c r="O774" s="4">
        <v>10</v>
      </c>
      <c r="P774" s="4">
        <v>68000</v>
      </c>
    </row>
    <row r="775" spans="15:16" x14ac:dyDescent="0.3">
      <c r="O775" s="3">
        <v>10</v>
      </c>
      <c r="P775" s="3">
        <v>68500</v>
      </c>
    </row>
    <row r="776" spans="15:16" x14ac:dyDescent="0.3">
      <c r="O776" s="3">
        <v>10</v>
      </c>
      <c r="P776" s="3">
        <v>68500</v>
      </c>
    </row>
    <row r="777" spans="15:16" x14ac:dyDescent="0.3">
      <c r="O777" s="3">
        <v>10</v>
      </c>
      <c r="P777" s="3">
        <v>70000</v>
      </c>
    </row>
    <row r="778" spans="15:16" x14ac:dyDescent="0.3">
      <c r="O778" s="3">
        <v>10</v>
      </c>
      <c r="P778" s="3">
        <v>70000</v>
      </c>
    </row>
    <row r="779" spans="15:16" x14ac:dyDescent="0.3">
      <c r="O779" s="4">
        <v>10</v>
      </c>
      <c r="P779" s="4">
        <v>70000</v>
      </c>
    </row>
    <row r="780" spans="15:16" x14ac:dyDescent="0.3">
      <c r="O780" s="4">
        <v>10</v>
      </c>
      <c r="P780" s="4">
        <v>70000</v>
      </c>
    </row>
    <row r="781" spans="15:16" x14ac:dyDescent="0.3">
      <c r="O781" s="3">
        <v>10</v>
      </c>
      <c r="P781" s="3">
        <v>70000</v>
      </c>
    </row>
    <row r="782" spans="15:16" x14ac:dyDescent="0.3">
      <c r="O782" s="3">
        <v>10</v>
      </c>
      <c r="P782" s="3">
        <v>70000</v>
      </c>
    </row>
    <row r="783" spans="15:16" x14ac:dyDescent="0.3">
      <c r="O783" s="3">
        <v>10</v>
      </c>
      <c r="P783" s="3">
        <v>70000</v>
      </c>
    </row>
    <row r="784" spans="15:16" x14ac:dyDescent="0.3">
      <c r="O784" s="4">
        <v>10</v>
      </c>
      <c r="P784" s="4">
        <v>70000</v>
      </c>
    </row>
    <row r="785" spans="15:16" x14ac:dyDescent="0.3">
      <c r="O785" s="3">
        <v>10</v>
      </c>
      <c r="P785" s="3">
        <v>70000</v>
      </c>
    </row>
    <row r="786" spans="15:16" x14ac:dyDescent="0.3">
      <c r="O786" s="3">
        <v>10</v>
      </c>
      <c r="P786" s="3">
        <v>70500</v>
      </c>
    </row>
    <row r="787" spans="15:16" x14ac:dyDescent="0.3">
      <c r="O787" s="4">
        <v>10</v>
      </c>
      <c r="P787" s="4">
        <v>71000</v>
      </c>
    </row>
    <row r="788" spans="15:16" x14ac:dyDescent="0.3">
      <c r="O788" s="3">
        <v>10</v>
      </c>
      <c r="P788" s="3">
        <v>71060</v>
      </c>
    </row>
    <row r="789" spans="15:16" x14ac:dyDescent="0.3">
      <c r="O789" s="3">
        <v>10</v>
      </c>
      <c r="P789" s="3">
        <v>72000</v>
      </c>
    </row>
    <row r="790" spans="15:16" x14ac:dyDescent="0.3">
      <c r="O790" s="3">
        <v>10</v>
      </c>
      <c r="P790" s="3">
        <v>74000</v>
      </c>
    </row>
    <row r="791" spans="15:16" x14ac:dyDescent="0.3">
      <c r="O791" s="3">
        <v>10</v>
      </c>
      <c r="P791" s="3">
        <v>74000</v>
      </c>
    </row>
    <row r="792" spans="15:16" x14ac:dyDescent="0.3">
      <c r="O792" s="3">
        <v>10</v>
      </c>
      <c r="P792" s="3">
        <v>75000</v>
      </c>
    </row>
    <row r="793" spans="15:16" x14ac:dyDescent="0.3">
      <c r="O793" s="3">
        <v>10</v>
      </c>
      <c r="P793" s="3">
        <v>75000</v>
      </c>
    </row>
    <row r="794" spans="15:16" x14ac:dyDescent="0.3">
      <c r="O794" s="3">
        <v>10</v>
      </c>
      <c r="P794" s="3">
        <v>75000</v>
      </c>
    </row>
    <row r="795" spans="15:16" x14ac:dyDescent="0.3">
      <c r="O795" s="4">
        <v>10</v>
      </c>
      <c r="P795" s="4">
        <v>75000</v>
      </c>
    </row>
    <row r="796" spans="15:16" x14ac:dyDescent="0.3">
      <c r="O796" s="3">
        <v>10</v>
      </c>
      <c r="P796" s="3">
        <v>75000</v>
      </c>
    </row>
    <row r="797" spans="15:16" x14ac:dyDescent="0.3">
      <c r="O797" s="3">
        <v>10</v>
      </c>
      <c r="P797" s="3">
        <v>75000</v>
      </c>
    </row>
    <row r="798" spans="15:16" x14ac:dyDescent="0.3">
      <c r="O798" s="3">
        <v>10</v>
      </c>
      <c r="P798" s="3">
        <v>75000</v>
      </c>
    </row>
    <row r="799" spans="15:16" x14ac:dyDescent="0.3">
      <c r="O799" s="4">
        <v>10</v>
      </c>
      <c r="P799" s="4">
        <v>75000</v>
      </c>
    </row>
    <row r="800" spans="15:16" x14ac:dyDescent="0.3">
      <c r="O800" s="4">
        <v>10</v>
      </c>
      <c r="P800" s="4">
        <v>75000</v>
      </c>
    </row>
    <row r="801" spans="15:16" x14ac:dyDescent="0.3">
      <c r="O801" s="3">
        <v>10</v>
      </c>
      <c r="P801" s="3">
        <v>75000</v>
      </c>
    </row>
    <row r="802" spans="15:16" x14ac:dyDescent="0.3">
      <c r="O802" s="4">
        <v>10</v>
      </c>
      <c r="P802" s="4">
        <v>75000</v>
      </c>
    </row>
    <row r="803" spans="15:16" x14ac:dyDescent="0.3">
      <c r="O803" s="3">
        <v>10</v>
      </c>
      <c r="P803" s="3">
        <v>75000</v>
      </c>
    </row>
    <row r="804" spans="15:16" x14ac:dyDescent="0.3">
      <c r="O804" s="4">
        <v>10</v>
      </c>
      <c r="P804" s="4">
        <v>75000</v>
      </c>
    </row>
    <row r="805" spans="15:16" x14ac:dyDescent="0.3">
      <c r="O805" s="3">
        <v>10</v>
      </c>
      <c r="P805" s="3">
        <v>75000</v>
      </c>
    </row>
    <row r="806" spans="15:16" x14ac:dyDescent="0.3">
      <c r="O806" s="3">
        <v>10</v>
      </c>
      <c r="P806" s="3">
        <v>76000</v>
      </c>
    </row>
    <row r="807" spans="15:16" x14ac:dyDescent="0.3">
      <c r="O807" s="4">
        <v>10</v>
      </c>
      <c r="P807" s="4">
        <v>77000</v>
      </c>
    </row>
    <row r="808" spans="15:16" x14ac:dyDescent="0.3">
      <c r="O808" s="3">
        <v>10</v>
      </c>
      <c r="P808" s="3">
        <v>78000</v>
      </c>
    </row>
    <row r="809" spans="15:16" x14ac:dyDescent="0.3">
      <c r="O809" s="4">
        <v>10</v>
      </c>
      <c r="P809" s="4">
        <v>78000</v>
      </c>
    </row>
    <row r="810" spans="15:16" x14ac:dyDescent="0.3">
      <c r="O810" s="3">
        <v>10</v>
      </c>
      <c r="P810" s="3">
        <v>78000</v>
      </c>
    </row>
    <row r="811" spans="15:16" x14ac:dyDescent="0.3">
      <c r="O811" s="4">
        <v>10</v>
      </c>
      <c r="P811" s="4">
        <v>78000</v>
      </c>
    </row>
    <row r="812" spans="15:16" x14ac:dyDescent="0.3">
      <c r="O812" s="4">
        <v>10</v>
      </c>
      <c r="P812" s="4">
        <v>78000</v>
      </c>
    </row>
    <row r="813" spans="15:16" x14ac:dyDescent="0.3">
      <c r="O813" s="4">
        <v>10</v>
      </c>
      <c r="P813" s="4">
        <v>79000</v>
      </c>
    </row>
    <row r="814" spans="15:16" x14ac:dyDescent="0.3">
      <c r="O814" s="3">
        <v>10</v>
      </c>
      <c r="P814" s="3">
        <v>79000</v>
      </c>
    </row>
    <row r="815" spans="15:16" x14ac:dyDescent="0.3">
      <c r="O815" s="3">
        <v>10</v>
      </c>
      <c r="P815" s="3">
        <v>80000</v>
      </c>
    </row>
    <row r="816" spans="15:16" x14ac:dyDescent="0.3">
      <c r="O816" s="4">
        <v>10</v>
      </c>
      <c r="P816" s="4">
        <v>80000</v>
      </c>
    </row>
    <row r="817" spans="15:16" x14ac:dyDescent="0.3">
      <c r="O817" s="4">
        <v>10</v>
      </c>
      <c r="P817" s="4">
        <v>80000</v>
      </c>
    </row>
    <row r="818" spans="15:16" x14ac:dyDescent="0.3">
      <c r="O818" s="3">
        <v>10</v>
      </c>
      <c r="P818" s="3">
        <v>80000</v>
      </c>
    </row>
    <row r="819" spans="15:16" x14ac:dyDescent="0.3">
      <c r="O819" s="4">
        <v>10</v>
      </c>
      <c r="P819" s="4">
        <v>80000</v>
      </c>
    </row>
    <row r="820" spans="15:16" x14ac:dyDescent="0.3">
      <c r="O820" s="3">
        <v>10</v>
      </c>
      <c r="P820" s="3">
        <v>80000</v>
      </c>
    </row>
    <row r="821" spans="15:16" x14ac:dyDescent="0.3">
      <c r="O821" s="3">
        <v>10</v>
      </c>
      <c r="P821" s="3">
        <v>80000</v>
      </c>
    </row>
    <row r="822" spans="15:16" x14ac:dyDescent="0.3">
      <c r="O822" s="4">
        <v>10</v>
      </c>
      <c r="P822" s="4">
        <v>80000</v>
      </c>
    </row>
    <row r="823" spans="15:16" x14ac:dyDescent="0.3">
      <c r="O823" s="4">
        <v>10</v>
      </c>
      <c r="P823" s="4">
        <v>80000</v>
      </c>
    </row>
    <row r="824" spans="15:16" x14ac:dyDescent="0.3">
      <c r="O824" s="3">
        <v>10</v>
      </c>
      <c r="P824" s="3">
        <v>81000</v>
      </c>
    </row>
    <row r="825" spans="15:16" x14ac:dyDescent="0.3">
      <c r="O825" s="4">
        <v>10</v>
      </c>
      <c r="P825" s="4">
        <v>82000</v>
      </c>
    </row>
    <row r="826" spans="15:16" x14ac:dyDescent="0.3">
      <c r="O826" s="4">
        <v>10</v>
      </c>
      <c r="P826" s="4">
        <v>82000</v>
      </c>
    </row>
    <row r="827" spans="15:16" x14ac:dyDescent="0.3">
      <c r="O827" s="3">
        <v>10</v>
      </c>
      <c r="P827" s="3">
        <v>82000</v>
      </c>
    </row>
    <row r="828" spans="15:16" x14ac:dyDescent="0.3">
      <c r="O828" s="4">
        <v>10</v>
      </c>
      <c r="P828" s="4">
        <v>82000</v>
      </c>
    </row>
    <row r="829" spans="15:16" x14ac:dyDescent="0.3">
      <c r="O829" s="3">
        <v>10</v>
      </c>
      <c r="P829" s="3">
        <v>85000</v>
      </c>
    </row>
    <row r="830" spans="15:16" x14ac:dyDescent="0.3">
      <c r="O830" s="3">
        <v>10</v>
      </c>
      <c r="P830" s="3">
        <v>85000</v>
      </c>
    </row>
    <row r="831" spans="15:16" x14ac:dyDescent="0.3">
      <c r="O831" s="3">
        <v>10</v>
      </c>
      <c r="P831" s="3">
        <v>85000</v>
      </c>
    </row>
    <row r="832" spans="15:16" x14ac:dyDescent="0.3">
      <c r="O832" s="4">
        <v>10</v>
      </c>
      <c r="P832" s="4">
        <v>85000</v>
      </c>
    </row>
    <row r="833" spans="15:16" x14ac:dyDescent="0.3">
      <c r="O833" s="3">
        <v>10</v>
      </c>
      <c r="P833" s="3">
        <v>85000</v>
      </c>
    </row>
    <row r="834" spans="15:16" x14ac:dyDescent="0.3">
      <c r="O834" s="4">
        <v>10</v>
      </c>
      <c r="P834" s="4">
        <v>85000</v>
      </c>
    </row>
    <row r="835" spans="15:16" x14ac:dyDescent="0.3">
      <c r="O835" s="4">
        <v>10</v>
      </c>
      <c r="P835" s="4">
        <v>85000</v>
      </c>
    </row>
    <row r="836" spans="15:16" x14ac:dyDescent="0.3">
      <c r="O836" s="4">
        <v>10</v>
      </c>
      <c r="P836" s="4">
        <v>85000</v>
      </c>
    </row>
    <row r="837" spans="15:16" x14ac:dyDescent="0.3">
      <c r="O837" s="4">
        <v>10</v>
      </c>
      <c r="P837" s="4">
        <v>85000</v>
      </c>
    </row>
    <row r="838" spans="15:16" x14ac:dyDescent="0.3">
      <c r="O838" s="3">
        <v>10</v>
      </c>
      <c r="P838" s="3">
        <v>86000</v>
      </c>
    </row>
    <row r="839" spans="15:16" x14ac:dyDescent="0.3">
      <c r="O839" s="4">
        <v>10</v>
      </c>
      <c r="P839" s="4">
        <v>87550</v>
      </c>
    </row>
    <row r="840" spans="15:16" x14ac:dyDescent="0.3">
      <c r="O840" s="3">
        <v>10</v>
      </c>
      <c r="P840" s="3">
        <v>88000</v>
      </c>
    </row>
    <row r="841" spans="15:16" x14ac:dyDescent="0.3">
      <c r="O841" s="4">
        <v>10</v>
      </c>
      <c r="P841" s="4">
        <v>88000</v>
      </c>
    </row>
    <row r="842" spans="15:16" x14ac:dyDescent="0.3">
      <c r="O842" s="4">
        <v>10</v>
      </c>
      <c r="P842" s="4">
        <v>89000</v>
      </c>
    </row>
    <row r="843" spans="15:16" x14ac:dyDescent="0.3">
      <c r="O843" s="3">
        <v>10</v>
      </c>
      <c r="P843" s="3">
        <v>90000</v>
      </c>
    </row>
    <row r="844" spans="15:16" x14ac:dyDescent="0.3">
      <c r="O844" s="3">
        <v>10</v>
      </c>
      <c r="P844" s="3">
        <v>90000</v>
      </c>
    </row>
    <row r="845" spans="15:16" x14ac:dyDescent="0.3">
      <c r="O845" s="4">
        <v>10</v>
      </c>
      <c r="P845" s="4">
        <v>90000</v>
      </c>
    </row>
    <row r="846" spans="15:16" x14ac:dyDescent="0.3">
      <c r="O846" s="4">
        <v>10</v>
      </c>
      <c r="P846" s="4">
        <v>90000</v>
      </c>
    </row>
    <row r="847" spans="15:16" x14ac:dyDescent="0.3">
      <c r="O847" s="3">
        <v>10</v>
      </c>
      <c r="P847" s="3">
        <v>92000</v>
      </c>
    </row>
    <row r="848" spans="15:16" x14ac:dyDescent="0.3">
      <c r="O848" s="3">
        <v>10</v>
      </c>
      <c r="P848" s="3">
        <v>93000</v>
      </c>
    </row>
    <row r="849" spans="15:16" x14ac:dyDescent="0.3">
      <c r="O849" s="3">
        <v>10</v>
      </c>
      <c r="P849" s="3">
        <v>95000</v>
      </c>
    </row>
    <row r="850" spans="15:16" x14ac:dyDescent="0.3">
      <c r="O850" s="3">
        <v>10</v>
      </c>
      <c r="P850" s="3">
        <v>95000</v>
      </c>
    </row>
    <row r="851" spans="15:16" x14ac:dyDescent="0.3">
      <c r="O851" s="4">
        <v>10</v>
      </c>
      <c r="P851" s="4">
        <v>96000</v>
      </c>
    </row>
    <row r="852" spans="15:16" x14ac:dyDescent="0.3">
      <c r="O852" s="3">
        <v>10</v>
      </c>
      <c r="P852" s="3">
        <v>100000</v>
      </c>
    </row>
    <row r="853" spans="15:16" x14ac:dyDescent="0.3">
      <c r="O853" s="4">
        <v>10</v>
      </c>
      <c r="P853" s="4">
        <v>100000</v>
      </c>
    </row>
    <row r="854" spans="15:16" x14ac:dyDescent="0.3">
      <c r="O854" s="4">
        <v>10</v>
      </c>
      <c r="P854" s="4">
        <v>100000</v>
      </c>
    </row>
    <row r="855" spans="15:16" x14ac:dyDescent="0.3">
      <c r="O855" s="4">
        <v>10</v>
      </c>
      <c r="P855" s="4">
        <v>100000</v>
      </c>
    </row>
    <row r="856" spans="15:16" x14ac:dyDescent="0.3">
      <c r="O856" s="4">
        <v>10</v>
      </c>
      <c r="P856" s="4">
        <v>100000</v>
      </c>
    </row>
    <row r="857" spans="15:16" x14ac:dyDescent="0.3">
      <c r="O857" s="4">
        <v>10</v>
      </c>
      <c r="P857" s="4">
        <v>100000</v>
      </c>
    </row>
    <row r="858" spans="15:16" x14ac:dyDescent="0.3">
      <c r="O858" s="4">
        <v>10</v>
      </c>
      <c r="P858" s="4">
        <v>105000</v>
      </c>
    </row>
    <row r="859" spans="15:16" x14ac:dyDescent="0.3">
      <c r="O859" s="3">
        <v>10</v>
      </c>
      <c r="P859" s="3">
        <v>110000</v>
      </c>
    </row>
    <row r="860" spans="15:16" x14ac:dyDescent="0.3">
      <c r="O860" s="3">
        <v>10</v>
      </c>
      <c r="P860" s="3">
        <v>110000</v>
      </c>
    </row>
    <row r="861" spans="15:16" x14ac:dyDescent="0.3">
      <c r="O861" s="4">
        <v>10</v>
      </c>
      <c r="P861" s="4">
        <v>115000</v>
      </c>
    </row>
    <row r="862" spans="15:16" x14ac:dyDescent="0.3">
      <c r="O862" s="3">
        <v>10</v>
      </c>
      <c r="P862" s="3">
        <v>115000</v>
      </c>
    </row>
    <row r="863" spans="15:16" x14ac:dyDescent="0.3">
      <c r="O863" s="4">
        <v>10</v>
      </c>
      <c r="P863" s="4">
        <v>115000</v>
      </c>
    </row>
    <row r="864" spans="15:16" x14ac:dyDescent="0.3">
      <c r="O864" s="4">
        <v>10</v>
      </c>
      <c r="P864" s="4">
        <v>120000</v>
      </c>
    </row>
    <row r="865" spans="15:16" x14ac:dyDescent="0.3">
      <c r="O865" s="4">
        <v>10</v>
      </c>
      <c r="P865" s="4">
        <v>120000</v>
      </c>
    </row>
    <row r="866" spans="15:16" x14ac:dyDescent="0.3">
      <c r="O866" s="4">
        <v>10</v>
      </c>
      <c r="P866" s="4">
        <v>120000</v>
      </c>
    </row>
    <row r="867" spans="15:16" x14ac:dyDescent="0.3">
      <c r="O867" s="4">
        <v>10</v>
      </c>
      <c r="P867" s="4">
        <v>130000</v>
      </c>
    </row>
    <row r="868" spans="15:16" x14ac:dyDescent="0.3">
      <c r="O868" s="3">
        <v>10</v>
      </c>
      <c r="P868" s="3">
        <v>151872</v>
      </c>
    </row>
    <row r="869" spans="15:16" x14ac:dyDescent="0.3">
      <c r="O869" s="4">
        <v>10</v>
      </c>
      <c r="P869" s="4">
        <v>200000</v>
      </c>
    </row>
    <row r="870" spans="15:16" x14ac:dyDescent="0.3">
      <c r="O870" s="4">
        <v>11</v>
      </c>
      <c r="P870" s="4">
        <v>32000</v>
      </c>
    </row>
    <row r="871" spans="15:16" x14ac:dyDescent="0.3">
      <c r="O871" s="4">
        <v>11</v>
      </c>
      <c r="P871" s="4">
        <v>35000</v>
      </c>
    </row>
    <row r="872" spans="15:16" x14ac:dyDescent="0.3">
      <c r="O872" s="3">
        <v>11</v>
      </c>
      <c r="P872" s="3">
        <v>55000</v>
      </c>
    </row>
    <row r="873" spans="15:16" x14ac:dyDescent="0.3">
      <c r="O873" s="4">
        <v>11</v>
      </c>
      <c r="P873" s="4">
        <v>55000</v>
      </c>
    </row>
    <row r="874" spans="15:16" x14ac:dyDescent="0.3">
      <c r="O874" s="3">
        <v>11</v>
      </c>
      <c r="P874" s="3">
        <v>57000</v>
      </c>
    </row>
    <row r="875" spans="15:16" x14ac:dyDescent="0.3">
      <c r="O875" s="3">
        <v>11</v>
      </c>
      <c r="P875" s="3">
        <v>60000</v>
      </c>
    </row>
    <row r="876" spans="15:16" x14ac:dyDescent="0.3">
      <c r="O876" s="3">
        <v>11</v>
      </c>
      <c r="P876" s="3">
        <v>60000</v>
      </c>
    </row>
    <row r="877" spans="15:16" x14ac:dyDescent="0.3">
      <c r="O877" s="4">
        <v>11</v>
      </c>
      <c r="P877" s="4">
        <v>60000</v>
      </c>
    </row>
    <row r="878" spans="15:16" x14ac:dyDescent="0.3">
      <c r="O878" s="3">
        <v>11</v>
      </c>
      <c r="P878" s="3">
        <v>60000</v>
      </c>
    </row>
    <row r="879" spans="15:16" x14ac:dyDescent="0.3">
      <c r="O879" s="4">
        <v>11</v>
      </c>
      <c r="P879" s="4">
        <v>65000</v>
      </c>
    </row>
    <row r="880" spans="15:16" x14ac:dyDescent="0.3">
      <c r="O880" s="4">
        <v>11</v>
      </c>
      <c r="P880" s="4">
        <v>65000</v>
      </c>
    </row>
    <row r="881" spans="15:16" x14ac:dyDescent="0.3">
      <c r="O881" s="4">
        <v>11</v>
      </c>
      <c r="P881" s="4">
        <v>65000</v>
      </c>
    </row>
    <row r="882" spans="15:16" x14ac:dyDescent="0.3">
      <c r="O882" s="4">
        <v>11</v>
      </c>
      <c r="P882" s="4">
        <v>66000</v>
      </c>
    </row>
    <row r="883" spans="15:16" x14ac:dyDescent="0.3">
      <c r="O883" s="4">
        <v>11</v>
      </c>
      <c r="P883" s="4">
        <v>68000</v>
      </c>
    </row>
    <row r="884" spans="15:16" x14ac:dyDescent="0.3">
      <c r="O884" s="3">
        <v>11</v>
      </c>
      <c r="P884" s="3">
        <v>70000</v>
      </c>
    </row>
    <row r="885" spans="15:16" x14ac:dyDescent="0.3">
      <c r="O885" s="4">
        <v>11</v>
      </c>
      <c r="P885" s="4">
        <v>70000</v>
      </c>
    </row>
    <row r="886" spans="15:16" x14ac:dyDescent="0.3">
      <c r="O886" s="4">
        <v>11</v>
      </c>
      <c r="P886" s="4">
        <v>72500</v>
      </c>
    </row>
    <row r="887" spans="15:16" x14ac:dyDescent="0.3">
      <c r="O887" s="3">
        <v>11</v>
      </c>
      <c r="P887" s="3">
        <v>73000</v>
      </c>
    </row>
    <row r="888" spans="15:16" x14ac:dyDescent="0.3">
      <c r="O888" s="4">
        <v>11</v>
      </c>
      <c r="P888" s="4">
        <v>74000</v>
      </c>
    </row>
    <row r="889" spans="15:16" x14ac:dyDescent="0.3">
      <c r="O889" s="4">
        <v>11</v>
      </c>
      <c r="P889" s="4">
        <v>74400</v>
      </c>
    </row>
    <row r="890" spans="15:16" x14ac:dyDescent="0.3">
      <c r="O890" s="3">
        <v>11</v>
      </c>
      <c r="P890" s="3">
        <v>75000</v>
      </c>
    </row>
    <row r="891" spans="15:16" x14ac:dyDescent="0.3">
      <c r="O891" s="4">
        <v>11</v>
      </c>
      <c r="P891" s="4">
        <v>75000</v>
      </c>
    </row>
    <row r="892" spans="15:16" x14ac:dyDescent="0.3">
      <c r="O892" s="3">
        <v>11</v>
      </c>
      <c r="P892" s="3">
        <v>75000</v>
      </c>
    </row>
    <row r="893" spans="15:16" x14ac:dyDescent="0.3">
      <c r="O893" s="4">
        <v>11</v>
      </c>
      <c r="P893" s="4">
        <v>75000</v>
      </c>
    </row>
    <row r="894" spans="15:16" x14ac:dyDescent="0.3">
      <c r="O894" s="4">
        <v>11</v>
      </c>
      <c r="P894" s="4">
        <v>80000</v>
      </c>
    </row>
    <row r="895" spans="15:16" x14ac:dyDescent="0.3">
      <c r="O895" s="4">
        <v>11</v>
      </c>
      <c r="P895" s="4">
        <v>80000</v>
      </c>
    </row>
    <row r="896" spans="15:16" x14ac:dyDescent="0.3">
      <c r="O896" s="4">
        <v>11</v>
      </c>
      <c r="P896" s="4">
        <v>80000</v>
      </c>
    </row>
    <row r="897" spans="15:16" x14ac:dyDescent="0.3">
      <c r="O897" s="3">
        <v>11</v>
      </c>
      <c r="P897" s="3">
        <v>80000</v>
      </c>
    </row>
    <row r="898" spans="15:16" x14ac:dyDescent="0.3">
      <c r="O898" s="4">
        <v>11</v>
      </c>
      <c r="P898" s="4">
        <v>80000</v>
      </c>
    </row>
    <row r="899" spans="15:16" x14ac:dyDescent="0.3">
      <c r="O899" s="3">
        <v>11</v>
      </c>
      <c r="P899" s="3">
        <v>80000</v>
      </c>
    </row>
    <row r="900" spans="15:16" x14ac:dyDescent="0.3">
      <c r="O900" s="4">
        <v>11</v>
      </c>
      <c r="P900" s="4">
        <v>80000</v>
      </c>
    </row>
    <row r="901" spans="15:16" x14ac:dyDescent="0.3">
      <c r="O901" s="4">
        <v>11</v>
      </c>
      <c r="P901" s="4">
        <v>80000</v>
      </c>
    </row>
    <row r="902" spans="15:16" x14ac:dyDescent="0.3">
      <c r="O902" s="4">
        <v>11</v>
      </c>
      <c r="P902" s="4">
        <v>81000</v>
      </c>
    </row>
    <row r="903" spans="15:16" x14ac:dyDescent="0.3">
      <c r="O903" s="4">
        <v>11</v>
      </c>
      <c r="P903" s="4">
        <v>81200</v>
      </c>
    </row>
    <row r="904" spans="15:16" x14ac:dyDescent="0.3">
      <c r="O904" s="3">
        <v>11</v>
      </c>
      <c r="P904" s="3">
        <v>85000</v>
      </c>
    </row>
    <row r="905" spans="15:16" x14ac:dyDescent="0.3">
      <c r="O905" s="4">
        <v>11</v>
      </c>
      <c r="P905" s="4">
        <v>90000</v>
      </c>
    </row>
    <row r="906" spans="15:16" x14ac:dyDescent="0.3">
      <c r="O906" s="3">
        <v>11</v>
      </c>
      <c r="P906" s="3">
        <v>90000</v>
      </c>
    </row>
    <row r="907" spans="15:16" x14ac:dyDescent="0.3">
      <c r="O907" s="4">
        <v>11</v>
      </c>
      <c r="P907" s="4">
        <v>93000</v>
      </c>
    </row>
    <row r="908" spans="15:16" x14ac:dyDescent="0.3">
      <c r="O908" s="4">
        <v>11</v>
      </c>
      <c r="P908" s="4">
        <v>100000</v>
      </c>
    </row>
    <row r="909" spans="15:16" x14ac:dyDescent="0.3">
      <c r="O909" s="3">
        <v>11</v>
      </c>
      <c r="P909" s="3">
        <v>107000</v>
      </c>
    </row>
    <row r="910" spans="15:16" x14ac:dyDescent="0.3">
      <c r="O910" s="3">
        <v>11</v>
      </c>
      <c r="P910" s="3">
        <v>140000</v>
      </c>
    </row>
    <row r="911" spans="15:16" x14ac:dyDescent="0.3">
      <c r="O911" s="3">
        <v>11</v>
      </c>
      <c r="P911" s="3">
        <v>154000</v>
      </c>
    </row>
    <row r="912" spans="15:16" x14ac:dyDescent="0.3">
      <c r="O912" s="3">
        <v>11</v>
      </c>
      <c r="P912" s="3">
        <v>180000</v>
      </c>
    </row>
    <row r="913" spans="15:16" x14ac:dyDescent="0.3">
      <c r="O913" s="4">
        <v>12</v>
      </c>
      <c r="P913" s="4">
        <v>47500</v>
      </c>
    </row>
    <row r="914" spans="15:16" x14ac:dyDescent="0.3">
      <c r="O914" s="4">
        <v>12</v>
      </c>
      <c r="P914" s="4">
        <v>54000</v>
      </c>
    </row>
    <row r="915" spans="15:16" x14ac:dyDescent="0.3">
      <c r="O915" s="3">
        <v>12</v>
      </c>
      <c r="P915" s="3">
        <v>54000</v>
      </c>
    </row>
    <row r="916" spans="15:16" x14ac:dyDescent="0.3">
      <c r="O916" s="4">
        <v>12</v>
      </c>
      <c r="P916" s="4">
        <v>56000</v>
      </c>
    </row>
    <row r="917" spans="15:16" x14ac:dyDescent="0.3">
      <c r="O917" s="3">
        <v>12</v>
      </c>
      <c r="P917" s="3">
        <v>56000</v>
      </c>
    </row>
    <row r="918" spans="15:16" x14ac:dyDescent="0.3">
      <c r="O918" s="3">
        <v>12</v>
      </c>
      <c r="P918" s="3">
        <v>60000</v>
      </c>
    </row>
    <row r="919" spans="15:16" x14ac:dyDescent="0.3">
      <c r="O919" s="4">
        <v>12</v>
      </c>
      <c r="P919" s="4">
        <v>60000</v>
      </c>
    </row>
    <row r="920" spans="15:16" x14ac:dyDescent="0.3">
      <c r="O920" s="4">
        <v>12</v>
      </c>
      <c r="P920" s="4">
        <v>62000</v>
      </c>
    </row>
    <row r="921" spans="15:16" x14ac:dyDescent="0.3">
      <c r="O921" s="4">
        <v>12</v>
      </c>
      <c r="P921" s="4">
        <v>62000</v>
      </c>
    </row>
    <row r="922" spans="15:16" x14ac:dyDescent="0.3">
      <c r="O922" s="4">
        <v>12</v>
      </c>
      <c r="P922" s="4">
        <v>63000</v>
      </c>
    </row>
    <row r="923" spans="15:16" x14ac:dyDescent="0.3">
      <c r="O923" s="3">
        <v>12</v>
      </c>
      <c r="P923" s="3">
        <v>65000</v>
      </c>
    </row>
    <row r="924" spans="15:16" x14ac:dyDescent="0.3">
      <c r="O924" s="3">
        <v>12</v>
      </c>
      <c r="P924" s="3">
        <v>65000</v>
      </c>
    </row>
    <row r="925" spans="15:16" x14ac:dyDescent="0.3">
      <c r="O925" s="3">
        <v>12</v>
      </c>
      <c r="P925" s="3">
        <v>65000</v>
      </c>
    </row>
    <row r="926" spans="15:16" x14ac:dyDescent="0.3">
      <c r="O926" s="4">
        <v>12</v>
      </c>
      <c r="P926" s="4">
        <v>66000</v>
      </c>
    </row>
    <row r="927" spans="15:16" x14ac:dyDescent="0.3">
      <c r="O927" s="4">
        <v>12</v>
      </c>
      <c r="P927" s="4">
        <v>66300</v>
      </c>
    </row>
    <row r="928" spans="15:16" x14ac:dyDescent="0.3">
      <c r="O928" s="3">
        <v>12</v>
      </c>
      <c r="P928" s="3">
        <v>66800</v>
      </c>
    </row>
    <row r="929" spans="15:16" x14ac:dyDescent="0.3">
      <c r="O929" s="3">
        <v>12</v>
      </c>
      <c r="P929" s="3">
        <v>67000</v>
      </c>
    </row>
    <row r="930" spans="15:16" x14ac:dyDescent="0.3">
      <c r="O930" s="4">
        <v>12</v>
      </c>
      <c r="P930" s="4">
        <v>68000</v>
      </c>
    </row>
    <row r="931" spans="15:16" x14ac:dyDescent="0.3">
      <c r="O931" s="3">
        <v>12</v>
      </c>
      <c r="P931" s="3">
        <v>68000</v>
      </c>
    </row>
    <row r="932" spans="15:16" x14ac:dyDescent="0.3">
      <c r="O932" s="3">
        <v>12</v>
      </c>
      <c r="P932" s="3">
        <v>70000</v>
      </c>
    </row>
    <row r="933" spans="15:16" x14ac:dyDescent="0.3">
      <c r="O933" s="3">
        <v>12</v>
      </c>
      <c r="P933" s="3">
        <v>70000</v>
      </c>
    </row>
    <row r="934" spans="15:16" x14ac:dyDescent="0.3">
      <c r="O934" s="3">
        <v>12</v>
      </c>
      <c r="P934" s="3">
        <v>70000</v>
      </c>
    </row>
    <row r="935" spans="15:16" x14ac:dyDescent="0.3">
      <c r="O935" s="3">
        <v>12</v>
      </c>
      <c r="P935" s="3">
        <v>70000</v>
      </c>
    </row>
    <row r="936" spans="15:16" x14ac:dyDescent="0.3">
      <c r="O936" s="3">
        <v>12</v>
      </c>
      <c r="P936" s="3">
        <v>70000</v>
      </c>
    </row>
    <row r="937" spans="15:16" x14ac:dyDescent="0.3">
      <c r="O937" s="4">
        <v>12</v>
      </c>
      <c r="P937" s="4">
        <v>70200</v>
      </c>
    </row>
    <row r="938" spans="15:16" x14ac:dyDescent="0.3">
      <c r="O938" s="4">
        <v>12</v>
      </c>
      <c r="P938" s="4">
        <v>72000</v>
      </c>
    </row>
    <row r="939" spans="15:16" x14ac:dyDescent="0.3">
      <c r="O939" s="3">
        <v>12</v>
      </c>
      <c r="P939" s="3">
        <v>72000</v>
      </c>
    </row>
    <row r="940" spans="15:16" x14ac:dyDescent="0.3">
      <c r="O940" s="4">
        <v>12</v>
      </c>
      <c r="P940" s="4">
        <v>73000</v>
      </c>
    </row>
    <row r="941" spans="15:16" x14ac:dyDescent="0.3">
      <c r="O941" s="3">
        <v>12</v>
      </c>
      <c r="P941" s="3">
        <v>74000</v>
      </c>
    </row>
    <row r="942" spans="15:16" x14ac:dyDescent="0.3">
      <c r="O942" s="3">
        <v>12</v>
      </c>
      <c r="P942" s="3">
        <v>74000</v>
      </c>
    </row>
    <row r="943" spans="15:16" x14ac:dyDescent="0.3">
      <c r="O943" s="3">
        <v>12</v>
      </c>
      <c r="P943" s="3">
        <v>75000</v>
      </c>
    </row>
    <row r="944" spans="15:16" x14ac:dyDescent="0.3">
      <c r="O944" s="3">
        <v>12</v>
      </c>
      <c r="P944" s="3">
        <v>75000</v>
      </c>
    </row>
    <row r="945" spans="15:16" x14ac:dyDescent="0.3">
      <c r="O945" s="4">
        <v>12</v>
      </c>
      <c r="P945" s="4">
        <v>75000</v>
      </c>
    </row>
    <row r="946" spans="15:16" x14ac:dyDescent="0.3">
      <c r="O946" s="4">
        <v>12</v>
      </c>
      <c r="P946" s="4">
        <v>75000</v>
      </c>
    </row>
    <row r="947" spans="15:16" x14ac:dyDescent="0.3">
      <c r="O947" s="3">
        <v>12</v>
      </c>
      <c r="P947" s="3">
        <v>75000</v>
      </c>
    </row>
    <row r="948" spans="15:16" x14ac:dyDescent="0.3">
      <c r="O948" s="3">
        <v>12</v>
      </c>
      <c r="P948" s="3">
        <v>77000</v>
      </c>
    </row>
    <row r="949" spans="15:16" x14ac:dyDescent="0.3">
      <c r="O949" s="3">
        <v>12</v>
      </c>
      <c r="P949" s="3">
        <v>77500</v>
      </c>
    </row>
    <row r="950" spans="15:16" x14ac:dyDescent="0.3">
      <c r="O950" s="3">
        <v>12</v>
      </c>
      <c r="P950" s="3">
        <v>78000</v>
      </c>
    </row>
    <row r="951" spans="15:16" x14ac:dyDescent="0.3">
      <c r="O951" s="3">
        <v>12</v>
      </c>
      <c r="P951" s="3">
        <v>80000</v>
      </c>
    </row>
    <row r="952" spans="15:16" x14ac:dyDescent="0.3">
      <c r="O952" s="3">
        <v>12</v>
      </c>
      <c r="P952" s="3">
        <v>82000</v>
      </c>
    </row>
    <row r="953" spans="15:16" x14ac:dyDescent="0.3">
      <c r="O953" s="4">
        <v>12</v>
      </c>
      <c r="P953" s="4">
        <v>83000</v>
      </c>
    </row>
    <row r="954" spans="15:16" x14ac:dyDescent="0.3">
      <c r="O954" s="4">
        <v>12</v>
      </c>
      <c r="P954" s="4">
        <v>85000</v>
      </c>
    </row>
    <row r="955" spans="15:16" x14ac:dyDescent="0.3">
      <c r="O955" s="4">
        <v>12</v>
      </c>
      <c r="P955" s="4">
        <v>85000</v>
      </c>
    </row>
    <row r="956" spans="15:16" x14ac:dyDescent="0.3">
      <c r="O956" s="3">
        <v>12</v>
      </c>
      <c r="P956" s="3">
        <v>85000</v>
      </c>
    </row>
    <row r="957" spans="15:16" x14ac:dyDescent="0.3">
      <c r="O957" s="4">
        <v>12</v>
      </c>
      <c r="P957" s="4">
        <v>88000</v>
      </c>
    </row>
    <row r="958" spans="15:16" x14ac:dyDescent="0.3">
      <c r="O958" s="3">
        <v>12</v>
      </c>
      <c r="P958" s="3">
        <v>89200</v>
      </c>
    </row>
    <row r="959" spans="15:16" x14ac:dyDescent="0.3">
      <c r="O959" s="4">
        <v>12</v>
      </c>
      <c r="P959" s="4">
        <v>90000</v>
      </c>
    </row>
    <row r="960" spans="15:16" x14ac:dyDescent="0.3">
      <c r="O960" s="4">
        <v>12</v>
      </c>
      <c r="P960" s="4">
        <v>90000</v>
      </c>
    </row>
    <row r="961" spans="15:16" x14ac:dyDescent="0.3">
      <c r="O961" s="4">
        <v>12</v>
      </c>
      <c r="P961" s="4">
        <v>90000</v>
      </c>
    </row>
    <row r="962" spans="15:16" x14ac:dyDescent="0.3">
      <c r="O962" s="4">
        <v>12</v>
      </c>
      <c r="P962" s="4">
        <v>92000</v>
      </c>
    </row>
    <row r="963" spans="15:16" x14ac:dyDescent="0.3">
      <c r="O963" s="3">
        <v>12</v>
      </c>
      <c r="P963" s="3">
        <v>94000</v>
      </c>
    </row>
    <row r="964" spans="15:16" x14ac:dyDescent="0.3">
      <c r="O964" s="4">
        <v>12</v>
      </c>
      <c r="P964" s="4">
        <v>95000</v>
      </c>
    </row>
    <row r="965" spans="15:16" x14ac:dyDescent="0.3">
      <c r="O965" s="3">
        <v>12</v>
      </c>
      <c r="P965" s="3">
        <v>95000</v>
      </c>
    </row>
    <row r="966" spans="15:16" x14ac:dyDescent="0.3">
      <c r="O966" s="4">
        <v>12</v>
      </c>
      <c r="P966" s="4">
        <v>95000</v>
      </c>
    </row>
    <row r="967" spans="15:16" x14ac:dyDescent="0.3">
      <c r="O967" s="3">
        <v>12</v>
      </c>
      <c r="P967" s="3">
        <v>95000</v>
      </c>
    </row>
    <row r="968" spans="15:16" x14ac:dyDescent="0.3">
      <c r="O968" s="4">
        <v>12</v>
      </c>
      <c r="P968" s="4">
        <v>95000</v>
      </c>
    </row>
    <row r="969" spans="15:16" x14ac:dyDescent="0.3">
      <c r="O969" s="3">
        <v>12</v>
      </c>
      <c r="P969" s="3">
        <v>95000</v>
      </c>
    </row>
    <row r="970" spans="15:16" x14ac:dyDescent="0.3">
      <c r="O970" s="4">
        <v>12</v>
      </c>
      <c r="P970" s="4">
        <v>100000</v>
      </c>
    </row>
    <row r="971" spans="15:16" x14ac:dyDescent="0.3">
      <c r="O971" s="4">
        <v>12</v>
      </c>
      <c r="P971" s="4">
        <v>100000</v>
      </c>
    </row>
    <row r="972" spans="15:16" x14ac:dyDescent="0.3">
      <c r="O972" s="3">
        <v>12</v>
      </c>
      <c r="P972" s="3">
        <v>100000</v>
      </c>
    </row>
    <row r="973" spans="15:16" x14ac:dyDescent="0.3">
      <c r="O973" s="4">
        <v>12</v>
      </c>
      <c r="P973" s="4">
        <v>102000</v>
      </c>
    </row>
    <row r="974" spans="15:16" x14ac:dyDescent="0.3">
      <c r="O974" s="4">
        <v>12</v>
      </c>
      <c r="P974" s="4">
        <v>105000</v>
      </c>
    </row>
    <row r="975" spans="15:16" x14ac:dyDescent="0.3">
      <c r="O975" s="3">
        <v>12</v>
      </c>
      <c r="P975" s="3">
        <v>108000</v>
      </c>
    </row>
    <row r="976" spans="15:16" x14ac:dyDescent="0.3">
      <c r="O976" s="3">
        <v>12</v>
      </c>
      <c r="P976" s="3">
        <v>120000</v>
      </c>
    </row>
    <row r="977" spans="15:16" x14ac:dyDescent="0.3">
      <c r="O977" s="3">
        <v>12</v>
      </c>
      <c r="P977" s="3">
        <v>120000</v>
      </c>
    </row>
    <row r="978" spans="15:16" x14ac:dyDescent="0.3">
      <c r="O978" s="3">
        <v>12</v>
      </c>
      <c r="P978" s="3">
        <v>120000</v>
      </c>
    </row>
    <row r="979" spans="15:16" x14ac:dyDescent="0.3">
      <c r="O979" s="3">
        <v>12</v>
      </c>
      <c r="P979" s="3">
        <v>120000</v>
      </c>
    </row>
    <row r="980" spans="15:16" x14ac:dyDescent="0.3">
      <c r="O980" s="3">
        <v>12</v>
      </c>
      <c r="P980" s="3">
        <v>150000</v>
      </c>
    </row>
    <row r="981" spans="15:16" x14ac:dyDescent="0.3">
      <c r="O981" s="3">
        <v>13</v>
      </c>
      <c r="P981" s="3">
        <v>45000</v>
      </c>
    </row>
    <row r="982" spans="15:16" x14ac:dyDescent="0.3">
      <c r="O982" s="4">
        <v>13</v>
      </c>
      <c r="P982" s="4">
        <v>47745</v>
      </c>
    </row>
    <row r="983" spans="15:16" x14ac:dyDescent="0.3">
      <c r="O983" s="3">
        <v>13</v>
      </c>
      <c r="P983" s="3">
        <v>48000</v>
      </c>
    </row>
    <row r="984" spans="15:16" x14ac:dyDescent="0.3">
      <c r="O984" s="4">
        <v>13</v>
      </c>
      <c r="P984" s="4">
        <v>65000</v>
      </c>
    </row>
    <row r="985" spans="15:16" x14ac:dyDescent="0.3">
      <c r="O985" s="4">
        <v>13</v>
      </c>
      <c r="P985" s="4">
        <v>68000</v>
      </c>
    </row>
    <row r="986" spans="15:16" x14ac:dyDescent="0.3">
      <c r="O986" s="4">
        <v>13</v>
      </c>
      <c r="P986" s="4">
        <v>70000</v>
      </c>
    </row>
    <row r="987" spans="15:16" x14ac:dyDescent="0.3">
      <c r="O987" s="4">
        <v>13</v>
      </c>
      <c r="P987" s="4">
        <v>70000</v>
      </c>
    </row>
    <row r="988" spans="15:16" x14ac:dyDescent="0.3">
      <c r="O988" s="4">
        <v>13</v>
      </c>
      <c r="P988" s="4">
        <v>70000</v>
      </c>
    </row>
    <row r="989" spans="15:16" x14ac:dyDescent="0.3">
      <c r="O989" s="3">
        <v>13</v>
      </c>
      <c r="P989" s="3">
        <v>70000</v>
      </c>
    </row>
    <row r="990" spans="15:16" x14ac:dyDescent="0.3">
      <c r="O990" s="4">
        <v>13</v>
      </c>
      <c r="P990" s="4">
        <v>70000</v>
      </c>
    </row>
    <row r="991" spans="15:16" x14ac:dyDescent="0.3">
      <c r="O991" s="4">
        <v>13</v>
      </c>
      <c r="P991" s="4">
        <v>70000</v>
      </c>
    </row>
    <row r="992" spans="15:16" x14ac:dyDescent="0.3">
      <c r="O992" s="3">
        <v>13</v>
      </c>
      <c r="P992" s="3">
        <v>70000</v>
      </c>
    </row>
    <row r="993" spans="15:16" x14ac:dyDescent="0.3">
      <c r="O993" s="4">
        <v>13</v>
      </c>
      <c r="P993" s="4">
        <v>70000</v>
      </c>
    </row>
    <row r="994" spans="15:16" x14ac:dyDescent="0.3">
      <c r="O994" s="3">
        <v>13</v>
      </c>
      <c r="P994" s="3">
        <v>72000</v>
      </c>
    </row>
    <row r="995" spans="15:16" x14ac:dyDescent="0.3">
      <c r="O995" s="3">
        <v>13</v>
      </c>
      <c r="P995" s="3">
        <v>72000</v>
      </c>
    </row>
    <row r="996" spans="15:16" x14ac:dyDescent="0.3">
      <c r="O996" s="3">
        <v>13</v>
      </c>
      <c r="P996" s="3">
        <v>75000</v>
      </c>
    </row>
    <row r="997" spans="15:16" x14ac:dyDescent="0.3">
      <c r="O997" s="4">
        <v>13</v>
      </c>
      <c r="P997" s="4">
        <v>77000</v>
      </c>
    </row>
    <row r="998" spans="15:16" x14ac:dyDescent="0.3">
      <c r="O998" s="3">
        <v>13</v>
      </c>
      <c r="P998" s="3">
        <v>78600</v>
      </c>
    </row>
    <row r="999" spans="15:16" x14ac:dyDescent="0.3">
      <c r="O999" s="3">
        <v>13</v>
      </c>
      <c r="P999" s="3">
        <v>80000</v>
      </c>
    </row>
    <row r="1000" spans="15:16" x14ac:dyDescent="0.3">
      <c r="O1000" s="4">
        <v>13</v>
      </c>
      <c r="P1000" s="4">
        <v>83000</v>
      </c>
    </row>
    <row r="1001" spans="15:16" x14ac:dyDescent="0.3">
      <c r="O1001" s="4">
        <v>13</v>
      </c>
      <c r="P1001" s="4">
        <v>83000</v>
      </c>
    </row>
    <row r="1002" spans="15:16" x14ac:dyDescent="0.3">
      <c r="O1002" s="3">
        <v>13</v>
      </c>
      <c r="P1002" s="3">
        <v>85000</v>
      </c>
    </row>
    <row r="1003" spans="15:16" x14ac:dyDescent="0.3">
      <c r="O1003" s="3">
        <v>13</v>
      </c>
      <c r="P1003" s="3">
        <v>85000</v>
      </c>
    </row>
    <row r="1004" spans="15:16" x14ac:dyDescent="0.3">
      <c r="O1004" s="4">
        <v>13</v>
      </c>
      <c r="P1004" s="4">
        <v>85000</v>
      </c>
    </row>
    <row r="1005" spans="15:16" x14ac:dyDescent="0.3">
      <c r="O1005" s="3">
        <v>13</v>
      </c>
      <c r="P1005" s="3">
        <v>85000</v>
      </c>
    </row>
    <row r="1006" spans="15:16" x14ac:dyDescent="0.3">
      <c r="O1006" s="3">
        <v>13</v>
      </c>
      <c r="P1006" s="3">
        <v>85000</v>
      </c>
    </row>
    <row r="1007" spans="15:16" x14ac:dyDescent="0.3">
      <c r="O1007" s="3">
        <v>13</v>
      </c>
      <c r="P1007" s="3">
        <v>89570</v>
      </c>
    </row>
    <row r="1008" spans="15:16" x14ac:dyDescent="0.3">
      <c r="O1008" s="4">
        <v>13</v>
      </c>
      <c r="P1008" s="4">
        <v>90000</v>
      </c>
    </row>
    <row r="1009" spans="15:16" x14ac:dyDescent="0.3">
      <c r="O1009" s="3">
        <v>13</v>
      </c>
      <c r="P1009" s="3">
        <v>90000</v>
      </c>
    </row>
    <row r="1010" spans="15:16" x14ac:dyDescent="0.3">
      <c r="O1010" s="4">
        <v>13</v>
      </c>
      <c r="P1010" s="4">
        <v>90000</v>
      </c>
    </row>
    <row r="1011" spans="15:16" x14ac:dyDescent="0.3">
      <c r="O1011" s="3">
        <v>13</v>
      </c>
      <c r="P1011" s="3">
        <v>90000</v>
      </c>
    </row>
    <row r="1012" spans="15:16" x14ac:dyDescent="0.3">
      <c r="O1012" s="3">
        <v>13</v>
      </c>
      <c r="P1012" s="3">
        <v>90000</v>
      </c>
    </row>
    <row r="1013" spans="15:16" x14ac:dyDescent="0.3">
      <c r="O1013" s="3">
        <v>13</v>
      </c>
      <c r="P1013" s="3">
        <v>95000</v>
      </c>
    </row>
    <row r="1014" spans="15:16" x14ac:dyDescent="0.3">
      <c r="O1014" s="4">
        <v>13</v>
      </c>
      <c r="P1014" s="4">
        <v>95000</v>
      </c>
    </row>
    <row r="1015" spans="15:16" x14ac:dyDescent="0.3">
      <c r="O1015" s="4">
        <v>13</v>
      </c>
      <c r="P1015" s="4">
        <v>103000</v>
      </c>
    </row>
    <row r="1016" spans="15:16" x14ac:dyDescent="0.3">
      <c r="O1016" s="3">
        <v>13</v>
      </c>
      <c r="P1016" s="3">
        <v>103000</v>
      </c>
    </row>
    <row r="1017" spans="15:16" x14ac:dyDescent="0.3">
      <c r="O1017" s="4">
        <v>13</v>
      </c>
      <c r="P1017" s="4">
        <v>105000</v>
      </c>
    </row>
    <row r="1018" spans="15:16" x14ac:dyDescent="0.3">
      <c r="O1018" s="4">
        <v>13</v>
      </c>
      <c r="P1018" s="4">
        <v>108000</v>
      </c>
    </row>
    <row r="1019" spans="15:16" x14ac:dyDescent="0.3">
      <c r="O1019" s="3">
        <v>13</v>
      </c>
      <c r="P1019" s="3">
        <v>108000</v>
      </c>
    </row>
    <row r="1020" spans="15:16" x14ac:dyDescent="0.3">
      <c r="O1020" s="3">
        <v>13</v>
      </c>
      <c r="P1020" s="3">
        <v>110000</v>
      </c>
    </row>
    <row r="1021" spans="15:16" x14ac:dyDescent="0.3">
      <c r="O1021" s="3">
        <v>13</v>
      </c>
      <c r="P1021" s="3">
        <v>140000</v>
      </c>
    </row>
    <row r="1022" spans="15:16" x14ac:dyDescent="0.3">
      <c r="O1022" s="3">
        <v>14</v>
      </c>
      <c r="P1022" s="3">
        <v>44000</v>
      </c>
    </row>
    <row r="1023" spans="15:16" x14ac:dyDescent="0.3">
      <c r="O1023" s="4">
        <v>14</v>
      </c>
      <c r="P1023" s="4">
        <v>57000</v>
      </c>
    </row>
    <row r="1024" spans="15:16" x14ac:dyDescent="0.3">
      <c r="O1024" s="4">
        <v>14</v>
      </c>
      <c r="P1024" s="4">
        <v>60000</v>
      </c>
    </row>
    <row r="1025" spans="15:16" x14ac:dyDescent="0.3">
      <c r="O1025" s="3">
        <v>14</v>
      </c>
      <c r="P1025" s="3">
        <v>62000</v>
      </c>
    </row>
    <row r="1026" spans="15:16" x14ac:dyDescent="0.3">
      <c r="O1026" s="3">
        <v>14</v>
      </c>
      <c r="P1026" s="3">
        <v>65000</v>
      </c>
    </row>
    <row r="1027" spans="15:16" x14ac:dyDescent="0.3">
      <c r="O1027" s="4">
        <v>14</v>
      </c>
      <c r="P1027" s="4">
        <v>67000</v>
      </c>
    </row>
    <row r="1028" spans="15:16" x14ac:dyDescent="0.3">
      <c r="O1028" s="4">
        <v>14</v>
      </c>
      <c r="P1028" s="4">
        <v>68000</v>
      </c>
    </row>
    <row r="1029" spans="15:16" x14ac:dyDescent="0.3">
      <c r="O1029" s="3">
        <v>14</v>
      </c>
      <c r="P1029" s="3">
        <v>69000</v>
      </c>
    </row>
    <row r="1030" spans="15:16" x14ac:dyDescent="0.3">
      <c r="O1030" s="3">
        <v>14</v>
      </c>
      <c r="P1030" s="3">
        <v>70000</v>
      </c>
    </row>
    <row r="1031" spans="15:16" x14ac:dyDescent="0.3">
      <c r="O1031" s="4">
        <v>14</v>
      </c>
      <c r="P1031" s="4">
        <v>70000</v>
      </c>
    </row>
    <row r="1032" spans="15:16" x14ac:dyDescent="0.3">
      <c r="O1032" s="4">
        <v>14</v>
      </c>
      <c r="P1032" s="4">
        <v>70000</v>
      </c>
    </row>
    <row r="1033" spans="15:16" x14ac:dyDescent="0.3">
      <c r="O1033" s="3">
        <v>14</v>
      </c>
      <c r="P1033" s="3">
        <v>72000</v>
      </c>
    </row>
    <row r="1034" spans="15:16" x14ac:dyDescent="0.3">
      <c r="O1034" s="4">
        <v>14</v>
      </c>
      <c r="P1034" s="4">
        <v>72000</v>
      </c>
    </row>
    <row r="1035" spans="15:16" x14ac:dyDescent="0.3">
      <c r="O1035" s="3">
        <v>14</v>
      </c>
      <c r="P1035" s="3">
        <v>75000</v>
      </c>
    </row>
    <row r="1036" spans="15:16" x14ac:dyDescent="0.3">
      <c r="O1036" s="3">
        <v>14</v>
      </c>
      <c r="P1036" s="3">
        <v>75000</v>
      </c>
    </row>
    <row r="1037" spans="15:16" x14ac:dyDescent="0.3">
      <c r="O1037" s="4">
        <v>14</v>
      </c>
      <c r="P1037" s="4">
        <v>75000</v>
      </c>
    </row>
    <row r="1038" spans="15:16" x14ac:dyDescent="0.3">
      <c r="O1038" s="3">
        <v>14</v>
      </c>
      <c r="P1038" s="3">
        <v>77000</v>
      </c>
    </row>
    <row r="1039" spans="15:16" x14ac:dyDescent="0.3">
      <c r="O1039" s="3">
        <v>14</v>
      </c>
      <c r="P1039" s="3">
        <v>78000</v>
      </c>
    </row>
    <row r="1040" spans="15:16" x14ac:dyDescent="0.3">
      <c r="O1040" s="4">
        <v>14</v>
      </c>
      <c r="P1040" s="4">
        <v>80000</v>
      </c>
    </row>
    <row r="1041" spans="15:16" x14ac:dyDescent="0.3">
      <c r="O1041" s="3">
        <v>14</v>
      </c>
      <c r="P1041" s="3">
        <v>80000</v>
      </c>
    </row>
    <row r="1042" spans="15:16" x14ac:dyDescent="0.3">
      <c r="O1042" s="4">
        <v>14</v>
      </c>
      <c r="P1042" s="4">
        <v>80000</v>
      </c>
    </row>
    <row r="1043" spans="15:16" x14ac:dyDescent="0.3">
      <c r="O1043" s="4">
        <v>14</v>
      </c>
      <c r="P1043" s="4">
        <v>80000</v>
      </c>
    </row>
    <row r="1044" spans="15:16" x14ac:dyDescent="0.3">
      <c r="O1044" s="4">
        <v>14</v>
      </c>
      <c r="P1044" s="4">
        <v>80000</v>
      </c>
    </row>
    <row r="1045" spans="15:16" x14ac:dyDescent="0.3">
      <c r="O1045" s="4">
        <v>14</v>
      </c>
      <c r="P1045" s="4">
        <v>80000</v>
      </c>
    </row>
    <row r="1046" spans="15:16" x14ac:dyDescent="0.3">
      <c r="O1046" s="3">
        <v>14</v>
      </c>
      <c r="P1046" s="3">
        <v>80000</v>
      </c>
    </row>
    <row r="1047" spans="15:16" x14ac:dyDescent="0.3">
      <c r="O1047" s="3">
        <v>14</v>
      </c>
      <c r="P1047" s="3">
        <v>81500</v>
      </c>
    </row>
    <row r="1048" spans="15:16" x14ac:dyDescent="0.3">
      <c r="O1048" s="3">
        <v>14</v>
      </c>
      <c r="P1048" s="3">
        <v>84000</v>
      </c>
    </row>
    <row r="1049" spans="15:16" x14ac:dyDescent="0.3">
      <c r="O1049" s="3">
        <v>14</v>
      </c>
      <c r="P1049" s="3">
        <v>84000</v>
      </c>
    </row>
    <row r="1050" spans="15:16" x14ac:dyDescent="0.3">
      <c r="O1050" s="3">
        <v>14</v>
      </c>
      <c r="P1050" s="3">
        <v>84000</v>
      </c>
    </row>
    <row r="1051" spans="15:16" x14ac:dyDescent="0.3">
      <c r="O1051" s="3">
        <v>14</v>
      </c>
      <c r="P1051" s="3">
        <v>90000</v>
      </c>
    </row>
    <row r="1052" spans="15:16" x14ac:dyDescent="0.3">
      <c r="O1052" s="3">
        <v>14</v>
      </c>
      <c r="P1052" s="3">
        <v>95000</v>
      </c>
    </row>
    <row r="1053" spans="15:16" x14ac:dyDescent="0.3">
      <c r="O1053" s="3">
        <v>14</v>
      </c>
      <c r="P1053" s="3">
        <v>95000</v>
      </c>
    </row>
    <row r="1054" spans="15:16" x14ac:dyDescent="0.3">
      <c r="O1054" s="4">
        <v>14</v>
      </c>
      <c r="P1054" s="4">
        <v>95000</v>
      </c>
    </row>
    <row r="1055" spans="15:16" x14ac:dyDescent="0.3">
      <c r="O1055" s="3">
        <v>14</v>
      </c>
      <c r="P1055" s="3">
        <v>95000</v>
      </c>
    </row>
    <row r="1056" spans="15:16" x14ac:dyDescent="0.3">
      <c r="O1056" s="4">
        <v>14</v>
      </c>
      <c r="P1056" s="4">
        <v>95000</v>
      </c>
    </row>
    <row r="1057" spans="15:16" x14ac:dyDescent="0.3">
      <c r="O1057" s="4">
        <v>14</v>
      </c>
      <c r="P1057" s="4">
        <v>96000</v>
      </c>
    </row>
    <row r="1058" spans="15:16" x14ac:dyDescent="0.3">
      <c r="O1058" s="3">
        <v>14</v>
      </c>
      <c r="P1058" s="3">
        <v>98000</v>
      </c>
    </row>
    <row r="1059" spans="15:16" x14ac:dyDescent="0.3">
      <c r="O1059" s="4">
        <v>14</v>
      </c>
      <c r="P1059" s="4">
        <v>100000</v>
      </c>
    </row>
    <row r="1060" spans="15:16" x14ac:dyDescent="0.3">
      <c r="O1060" s="4">
        <v>14</v>
      </c>
      <c r="P1060" s="4">
        <v>135000</v>
      </c>
    </row>
    <row r="1061" spans="15:16" x14ac:dyDescent="0.3">
      <c r="O1061" s="3">
        <v>15</v>
      </c>
      <c r="P1061" s="3">
        <v>30000</v>
      </c>
    </row>
    <row r="1062" spans="15:16" x14ac:dyDescent="0.3">
      <c r="O1062" s="4">
        <v>15</v>
      </c>
      <c r="P1062" s="4">
        <v>40700</v>
      </c>
    </row>
    <row r="1063" spans="15:16" x14ac:dyDescent="0.3">
      <c r="O1063" s="4">
        <v>15</v>
      </c>
      <c r="P1063" s="4">
        <v>50000</v>
      </c>
    </row>
    <row r="1064" spans="15:16" x14ac:dyDescent="0.3">
      <c r="O1064" s="4">
        <v>15</v>
      </c>
      <c r="P1064" s="4">
        <v>52000</v>
      </c>
    </row>
    <row r="1065" spans="15:16" x14ac:dyDescent="0.3">
      <c r="O1065" s="4">
        <v>15</v>
      </c>
      <c r="P1065" s="4">
        <v>52500</v>
      </c>
    </row>
    <row r="1066" spans="15:16" x14ac:dyDescent="0.3">
      <c r="O1066" s="3">
        <v>15</v>
      </c>
      <c r="P1066" s="3">
        <v>53000</v>
      </c>
    </row>
    <row r="1067" spans="15:16" x14ac:dyDescent="0.3">
      <c r="O1067" s="3">
        <v>15</v>
      </c>
      <c r="P1067" s="3">
        <v>55000</v>
      </c>
    </row>
    <row r="1068" spans="15:16" x14ac:dyDescent="0.3">
      <c r="O1068" s="4">
        <v>15</v>
      </c>
      <c r="P1068" s="4">
        <v>56000</v>
      </c>
    </row>
    <row r="1069" spans="15:16" x14ac:dyDescent="0.3">
      <c r="O1069" s="3">
        <v>15</v>
      </c>
      <c r="P1069" s="3">
        <v>56400</v>
      </c>
    </row>
    <row r="1070" spans="15:16" x14ac:dyDescent="0.3">
      <c r="O1070" s="4">
        <v>15</v>
      </c>
      <c r="P1070" s="4">
        <v>59000</v>
      </c>
    </row>
    <row r="1071" spans="15:16" x14ac:dyDescent="0.3">
      <c r="O1071" s="4">
        <v>15</v>
      </c>
      <c r="P1071" s="4">
        <v>60000</v>
      </c>
    </row>
    <row r="1072" spans="15:16" x14ac:dyDescent="0.3">
      <c r="O1072" s="3">
        <v>15</v>
      </c>
      <c r="P1072" s="3">
        <v>60000</v>
      </c>
    </row>
    <row r="1073" spans="15:16" x14ac:dyDescent="0.3">
      <c r="O1073" s="3">
        <v>15</v>
      </c>
      <c r="P1073" s="3">
        <v>63000</v>
      </c>
    </row>
    <row r="1074" spans="15:16" x14ac:dyDescent="0.3">
      <c r="O1074" s="4">
        <v>15</v>
      </c>
      <c r="P1074" s="4">
        <v>67000</v>
      </c>
    </row>
    <row r="1075" spans="15:16" x14ac:dyDescent="0.3">
      <c r="O1075" s="3">
        <v>15</v>
      </c>
      <c r="P1075" s="3">
        <v>67500</v>
      </c>
    </row>
    <row r="1076" spans="15:16" x14ac:dyDescent="0.3">
      <c r="O1076" s="4">
        <v>15</v>
      </c>
      <c r="P1076" s="4">
        <v>68000</v>
      </c>
    </row>
    <row r="1077" spans="15:16" x14ac:dyDescent="0.3">
      <c r="O1077" s="3">
        <v>15</v>
      </c>
      <c r="P1077" s="3">
        <v>70000</v>
      </c>
    </row>
    <row r="1078" spans="15:16" x14ac:dyDescent="0.3">
      <c r="O1078" s="4">
        <v>15</v>
      </c>
      <c r="P1078" s="4">
        <v>70000</v>
      </c>
    </row>
    <row r="1079" spans="15:16" x14ac:dyDescent="0.3">
      <c r="O1079" s="4">
        <v>15</v>
      </c>
      <c r="P1079" s="4">
        <v>70000</v>
      </c>
    </row>
    <row r="1080" spans="15:16" x14ac:dyDescent="0.3">
      <c r="O1080" s="4">
        <v>15</v>
      </c>
      <c r="P1080" s="4">
        <v>70000</v>
      </c>
    </row>
    <row r="1081" spans="15:16" x14ac:dyDescent="0.3">
      <c r="O1081" s="4">
        <v>15</v>
      </c>
      <c r="P1081" s="4">
        <v>70000</v>
      </c>
    </row>
    <row r="1082" spans="15:16" x14ac:dyDescent="0.3">
      <c r="O1082" s="3">
        <v>15</v>
      </c>
      <c r="P1082" s="3">
        <v>70000</v>
      </c>
    </row>
    <row r="1083" spans="15:16" x14ac:dyDescent="0.3">
      <c r="O1083" s="4">
        <v>15</v>
      </c>
      <c r="P1083" s="4">
        <v>70000</v>
      </c>
    </row>
    <row r="1084" spans="15:16" x14ac:dyDescent="0.3">
      <c r="O1084" s="3">
        <v>15</v>
      </c>
      <c r="P1084" s="3">
        <v>72000</v>
      </c>
    </row>
    <row r="1085" spans="15:16" x14ac:dyDescent="0.3">
      <c r="O1085" s="4">
        <v>15</v>
      </c>
      <c r="P1085" s="4">
        <v>72000</v>
      </c>
    </row>
    <row r="1086" spans="15:16" x14ac:dyDescent="0.3">
      <c r="O1086" s="4">
        <v>15</v>
      </c>
      <c r="P1086" s="4">
        <v>73000</v>
      </c>
    </row>
    <row r="1087" spans="15:16" x14ac:dyDescent="0.3">
      <c r="O1087" s="4">
        <v>15</v>
      </c>
      <c r="P1087" s="4">
        <v>75000</v>
      </c>
    </row>
    <row r="1088" spans="15:16" x14ac:dyDescent="0.3">
      <c r="O1088" s="3">
        <v>15</v>
      </c>
      <c r="P1088" s="3">
        <v>75000</v>
      </c>
    </row>
    <row r="1089" spans="15:16" x14ac:dyDescent="0.3">
      <c r="O1089" s="3">
        <v>15</v>
      </c>
      <c r="P1089" s="3">
        <v>75000</v>
      </c>
    </row>
    <row r="1090" spans="15:16" x14ac:dyDescent="0.3">
      <c r="O1090" s="4">
        <v>15</v>
      </c>
      <c r="P1090" s="4">
        <v>76000</v>
      </c>
    </row>
    <row r="1091" spans="15:16" x14ac:dyDescent="0.3">
      <c r="O1091" s="3">
        <v>15</v>
      </c>
      <c r="P1091" s="3">
        <v>77000</v>
      </c>
    </row>
    <row r="1092" spans="15:16" x14ac:dyDescent="0.3">
      <c r="O1092" s="4">
        <v>15</v>
      </c>
      <c r="P1092" s="4">
        <v>78000</v>
      </c>
    </row>
    <row r="1093" spans="15:16" x14ac:dyDescent="0.3">
      <c r="O1093" s="3">
        <v>15</v>
      </c>
      <c r="P1093" s="3">
        <v>78000</v>
      </c>
    </row>
    <row r="1094" spans="15:16" x14ac:dyDescent="0.3">
      <c r="O1094" s="4">
        <v>15</v>
      </c>
      <c r="P1094" s="4">
        <v>79300</v>
      </c>
    </row>
    <row r="1095" spans="15:16" x14ac:dyDescent="0.3">
      <c r="O1095" s="3">
        <v>15</v>
      </c>
      <c r="P1095" s="3">
        <v>80000</v>
      </c>
    </row>
    <row r="1096" spans="15:16" x14ac:dyDescent="0.3">
      <c r="O1096" s="4">
        <v>15</v>
      </c>
      <c r="P1096" s="4">
        <v>80000</v>
      </c>
    </row>
    <row r="1097" spans="15:16" x14ac:dyDescent="0.3">
      <c r="O1097" s="4">
        <v>15</v>
      </c>
      <c r="P1097" s="4">
        <v>80000</v>
      </c>
    </row>
    <row r="1098" spans="15:16" x14ac:dyDescent="0.3">
      <c r="O1098" s="3">
        <v>15</v>
      </c>
      <c r="P1098" s="3">
        <v>80000</v>
      </c>
    </row>
    <row r="1099" spans="15:16" x14ac:dyDescent="0.3">
      <c r="O1099" s="3">
        <v>15</v>
      </c>
      <c r="P1099" s="3">
        <v>80000</v>
      </c>
    </row>
    <row r="1100" spans="15:16" x14ac:dyDescent="0.3">
      <c r="O1100" s="4">
        <v>15</v>
      </c>
      <c r="P1100" s="4">
        <v>80000</v>
      </c>
    </row>
    <row r="1101" spans="15:16" x14ac:dyDescent="0.3">
      <c r="O1101" s="3">
        <v>15</v>
      </c>
      <c r="P1101" s="3">
        <v>80000</v>
      </c>
    </row>
    <row r="1102" spans="15:16" x14ac:dyDescent="0.3">
      <c r="O1102" s="3">
        <v>15</v>
      </c>
      <c r="P1102" s="3">
        <v>83000</v>
      </c>
    </row>
    <row r="1103" spans="15:16" x14ac:dyDescent="0.3">
      <c r="O1103" s="4">
        <v>15</v>
      </c>
      <c r="P1103" s="4">
        <v>84700</v>
      </c>
    </row>
    <row r="1104" spans="15:16" x14ac:dyDescent="0.3">
      <c r="O1104" s="3">
        <v>15</v>
      </c>
      <c r="P1104" s="3">
        <v>85000</v>
      </c>
    </row>
    <row r="1105" spans="15:16" x14ac:dyDescent="0.3">
      <c r="O1105" s="4">
        <v>15</v>
      </c>
      <c r="P1105" s="4">
        <v>85000</v>
      </c>
    </row>
    <row r="1106" spans="15:16" x14ac:dyDescent="0.3">
      <c r="O1106" s="3">
        <v>15</v>
      </c>
      <c r="P1106" s="3">
        <v>85000</v>
      </c>
    </row>
    <row r="1107" spans="15:16" x14ac:dyDescent="0.3">
      <c r="O1107" s="3">
        <v>15</v>
      </c>
      <c r="P1107" s="3">
        <v>85000</v>
      </c>
    </row>
    <row r="1108" spans="15:16" x14ac:dyDescent="0.3">
      <c r="O1108" s="4">
        <v>15</v>
      </c>
      <c r="P1108" s="4">
        <v>85000</v>
      </c>
    </row>
    <row r="1109" spans="15:16" x14ac:dyDescent="0.3">
      <c r="O1109" s="3">
        <v>15</v>
      </c>
      <c r="P1109" s="3">
        <v>90000</v>
      </c>
    </row>
    <row r="1110" spans="15:16" x14ac:dyDescent="0.3">
      <c r="O1110" s="4">
        <v>15</v>
      </c>
      <c r="P1110" s="4">
        <v>90000</v>
      </c>
    </row>
    <row r="1111" spans="15:16" x14ac:dyDescent="0.3">
      <c r="O1111" s="3">
        <v>15</v>
      </c>
      <c r="P1111" s="3">
        <v>90000</v>
      </c>
    </row>
    <row r="1112" spans="15:16" x14ac:dyDescent="0.3">
      <c r="O1112" s="4">
        <v>15</v>
      </c>
      <c r="P1112" s="4">
        <v>90000</v>
      </c>
    </row>
    <row r="1113" spans="15:16" x14ac:dyDescent="0.3">
      <c r="O1113" s="3">
        <v>15</v>
      </c>
      <c r="P1113" s="3">
        <v>95000</v>
      </c>
    </row>
    <row r="1114" spans="15:16" x14ac:dyDescent="0.3">
      <c r="O1114" s="3">
        <v>15</v>
      </c>
      <c r="P1114" s="3">
        <v>99000</v>
      </c>
    </row>
    <row r="1115" spans="15:16" x14ac:dyDescent="0.3">
      <c r="O1115" s="4">
        <v>15</v>
      </c>
      <c r="P1115" s="4">
        <v>100000</v>
      </c>
    </row>
    <row r="1116" spans="15:16" x14ac:dyDescent="0.3">
      <c r="O1116" s="4">
        <v>15</v>
      </c>
      <c r="P1116" s="4">
        <v>100000</v>
      </c>
    </row>
    <row r="1117" spans="15:16" x14ac:dyDescent="0.3">
      <c r="O1117" s="3">
        <v>15</v>
      </c>
      <c r="P1117" s="3">
        <v>100000</v>
      </c>
    </row>
    <row r="1118" spans="15:16" x14ac:dyDescent="0.3">
      <c r="O1118" s="3">
        <v>15</v>
      </c>
      <c r="P1118" s="3">
        <v>100000</v>
      </c>
    </row>
    <row r="1119" spans="15:16" x14ac:dyDescent="0.3">
      <c r="O1119" s="4">
        <v>15</v>
      </c>
      <c r="P1119" s="4">
        <v>100000</v>
      </c>
    </row>
    <row r="1120" spans="15:16" x14ac:dyDescent="0.3">
      <c r="O1120" s="3">
        <v>15</v>
      </c>
      <c r="P1120" s="3">
        <v>110000</v>
      </c>
    </row>
    <row r="1121" spans="15:16" x14ac:dyDescent="0.3">
      <c r="O1121" s="4">
        <v>15</v>
      </c>
      <c r="P1121" s="4">
        <v>120000</v>
      </c>
    </row>
    <row r="1122" spans="15:16" x14ac:dyDescent="0.3">
      <c r="O1122" s="4">
        <v>15</v>
      </c>
      <c r="P1122" s="4">
        <v>150000</v>
      </c>
    </row>
    <row r="1123" spans="15:16" x14ac:dyDescent="0.3">
      <c r="O1123" s="3">
        <v>15</v>
      </c>
      <c r="P1123" s="3">
        <v>150000</v>
      </c>
    </row>
    <row r="1124" spans="15:16" x14ac:dyDescent="0.3">
      <c r="O1124" s="3">
        <v>15</v>
      </c>
      <c r="P1124" s="3">
        <v>172000</v>
      </c>
    </row>
    <row r="1125" spans="15:16" x14ac:dyDescent="0.3">
      <c r="O1125" s="3">
        <v>16</v>
      </c>
      <c r="P1125" s="3">
        <v>36000</v>
      </c>
    </row>
    <row r="1126" spans="15:16" x14ac:dyDescent="0.3">
      <c r="O1126" s="3">
        <v>16</v>
      </c>
      <c r="P1126" s="3">
        <v>62400</v>
      </c>
    </row>
    <row r="1127" spans="15:16" x14ac:dyDescent="0.3">
      <c r="O1127" s="4">
        <v>16</v>
      </c>
      <c r="P1127" s="4">
        <v>62500</v>
      </c>
    </row>
    <row r="1128" spans="15:16" x14ac:dyDescent="0.3">
      <c r="O1128" s="3">
        <v>16</v>
      </c>
      <c r="P1128" s="3">
        <v>65000</v>
      </c>
    </row>
    <row r="1129" spans="15:16" x14ac:dyDescent="0.3">
      <c r="O1129" s="4">
        <v>16</v>
      </c>
      <c r="P1129" s="4">
        <v>65000</v>
      </c>
    </row>
    <row r="1130" spans="15:16" x14ac:dyDescent="0.3">
      <c r="O1130" s="4">
        <v>16</v>
      </c>
      <c r="P1130" s="4">
        <v>65000</v>
      </c>
    </row>
    <row r="1131" spans="15:16" x14ac:dyDescent="0.3">
      <c r="O1131" s="3">
        <v>16</v>
      </c>
      <c r="P1131" s="3">
        <v>65000</v>
      </c>
    </row>
    <row r="1132" spans="15:16" x14ac:dyDescent="0.3">
      <c r="O1132" s="3">
        <v>16</v>
      </c>
      <c r="P1132" s="3">
        <v>72000</v>
      </c>
    </row>
    <row r="1133" spans="15:16" x14ac:dyDescent="0.3">
      <c r="O1133" s="4">
        <v>16</v>
      </c>
      <c r="P1133" s="4">
        <v>80000</v>
      </c>
    </row>
    <row r="1134" spans="15:16" x14ac:dyDescent="0.3">
      <c r="O1134" s="3">
        <v>16</v>
      </c>
      <c r="P1134" s="3">
        <v>83000</v>
      </c>
    </row>
    <row r="1135" spans="15:16" x14ac:dyDescent="0.3">
      <c r="O1135" s="4">
        <v>16</v>
      </c>
      <c r="P1135" s="4">
        <v>83000</v>
      </c>
    </row>
    <row r="1136" spans="15:16" x14ac:dyDescent="0.3">
      <c r="O1136" s="3">
        <v>16</v>
      </c>
      <c r="P1136" s="3">
        <v>84000</v>
      </c>
    </row>
    <row r="1137" spans="15:16" x14ac:dyDescent="0.3">
      <c r="O1137" s="4">
        <v>16</v>
      </c>
      <c r="P1137" s="4">
        <v>85000</v>
      </c>
    </row>
    <row r="1138" spans="15:16" x14ac:dyDescent="0.3">
      <c r="O1138" s="4">
        <v>16</v>
      </c>
      <c r="P1138" s="4">
        <v>90000</v>
      </c>
    </row>
    <row r="1139" spans="15:16" x14ac:dyDescent="0.3">
      <c r="O1139" s="4">
        <v>16</v>
      </c>
      <c r="P1139" s="4">
        <v>91000</v>
      </c>
    </row>
    <row r="1140" spans="15:16" x14ac:dyDescent="0.3">
      <c r="O1140" s="4">
        <v>16</v>
      </c>
      <c r="P1140" s="4">
        <v>95000</v>
      </c>
    </row>
    <row r="1141" spans="15:16" x14ac:dyDescent="0.3">
      <c r="O1141" s="3">
        <v>16</v>
      </c>
      <c r="P1141" s="3">
        <v>99000</v>
      </c>
    </row>
    <row r="1142" spans="15:16" x14ac:dyDescent="0.3">
      <c r="O1142" s="3">
        <v>16</v>
      </c>
      <c r="P1142" s="3">
        <v>100000</v>
      </c>
    </row>
    <row r="1143" spans="15:16" x14ac:dyDescent="0.3">
      <c r="O1143" s="4">
        <v>16</v>
      </c>
      <c r="P1143" s="4">
        <v>105000</v>
      </c>
    </row>
    <row r="1144" spans="15:16" x14ac:dyDescent="0.3">
      <c r="O1144" s="3">
        <v>16</v>
      </c>
      <c r="P1144" s="3">
        <v>120000</v>
      </c>
    </row>
    <row r="1145" spans="15:16" x14ac:dyDescent="0.3">
      <c r="O1145" s="3">
        <v>17</v>
      </c>
      <c r="P1145" s="3">
        <v>62000</v>
      </c>
    </row>
    <row r="1146" spans="15:16" x14ac:dyDescent="0.3">
      <c r="O1146" s="4">
        <v>17</v>
      </c>
      <c r="P1146" s="4">
        <v>64000</v>
      </c>
    </row>
    <row r="1147" spans="15:16" x14ac:dyDescent="0.3">
      <c r="O1147" s="3">
        <v>17</v>
      </c>
      <c r="P1147" s="3">
        <v>68500</v>
      </c>
    </row>
    <row r="1148" spans="15:16" x14ac:dyDescent="0.3">
      <c r="O1148" s="4">
        <v>17</v>
      </c>
      <c r="P1148" s="4">
        <v>70000</v>
      </c>
    </row>
    <row r="1149" spans="15:16" x14ac:dyDescent="0.3">
      <c r="O1149" s="3">
        <v>17</v>
      </c>
      <c r="P1149" s="3">
        <v>72000</v>
      </c>
    </row>
    <row r="1150" spans="15:16" x14ac:dyDescent="0.3">
      <c r="O1150" s="4">
        <v>17</v>
      </c>
      <c r="P1150" s="4">
        <v>75000</v>
      </c>
    </row>
    <row r="1151" spans="15:16" x14ac:dyDescent="0.3">
      <c r="O1151" s="4">
        <v>17</v>
      </c>
      <c r="P1151" s="4">
        <v>77000</v>
      </c>
    </row>
    <row r="1152" spans="15:16" x14ac:dyDescent="0.3">
      <c r="O1152" s="3">
        <v>17</v>
      </c>
      <c r="P1152" s="3">
        <v>81000</v>
      </c>
    </row>
    <row r="1153" spans="15:16" x14ac:dyDescent="0.3">
      <c r="O1153" s="4">
        <v>17</v>
      </c>
      <c r="P1153" s="4">
        <v>85000</v>
      </c>
    </row>
    <row r="1154" spans="15:16" x14ac:dyDescent="0.3">
      <c r="O1154" s="3">
        <v>17</v>
      </c>
      <c r="P1154" s="3">
        <v>90000</v>
      </c>
    </row>
    <row r="1155" spans="15:16" x14ac:dyDescent="0.3">
      <c r="O1155" s="3">
        <v>17</v>
      </c>
      <c r="P1155" s="3">
        <v>120000</v>
      </c>
    </row>
    <row r="1156" spans="15:16" x14ac:dyDescent="0.3">
      <c r="O1156" s="4">
        <v>17</v>
      </c>
      <c r="P1156" s="4">
        <v>124000</v>
      </c>
    </row>
    <row r="1157" spans="15:16" x14ac:dyDescent="0.3">
      <c r="O1157" s="3">
        <v>18</v>
      </c>
      <c r="P1157" s="3">
        <v>53000</v>
      </c>
    </row>
    <row r="1158" spans="15:16" x14ac:dyDescent="0.3">
      <c r="O1158" s="3">
        <v>18</v>
      </c>
      <c r="P1158" s="3">
        <v>60000</v>
      </c>
    </row>
    <row r="1159" spans="15:16" x14ac:dyDescent="0.3">
      <c r="O1159" s="3">
        <v>18</v>
      </c>
      <c r="P1159" s="3">
        <v>65000</v>
      </c>
    </row>
    <row r="1160" spans="15:16" x14ac:dyDescent="0.3">
      <c r="O1160" s="4">
        <v>18</v>
      </c>
      <c r="P1160" s="4">
        <v>72000</v>
      </c>
    </row>
    <row r="1161" spans="15:16" x14ac:dyDescent="0.3">
      <c r="O1161" s="3">
        <v>18</v>
      </c>
      <c r="P1161" s="3">
        <v>78000</v>
      </c>
    </row>
    <row r="1162" spans="15:16" x14ac:dyDescent="0.3">
      <c r="O1162" s="4">
        <v>18</v>
      </c>
      <c r="P1162" s="4">
        <v>78000</v>
      </c>
    </row>
    <row r="1163" spans="15:16" x14ac:dyDescent="0.3">
      <c r="O1163" s="3">
        <v>18</v>
      </c>
      <c r="P1163" s="3">
        <v>80000</v>
      </c>
    </row>
    <row r="1164" spans="15:16" x14ac:dyDescent="0.3">
      <c r="O1164" s="3">
        <v>18</v>
      </c>
      <c r="P1164" s="3">
        <v>81000</v>
      </c>
    </row>
    <row r="1165" spans="15:16" x14ac:dyDescent="0.3">
      <c r="O1165" s="3">
        <v>18</v>
      </c>
      <c r="P1165" s="3">
        <v>90000</v>
      </c>
    </row>
    <row r="1166" spans="15:16" x14ac:dyDescent="0.3">
      <c r="O1166" s="4">
        <v>18</v>
      </c>
      <c r="P1166" s="4">
        <v>98000</v>
      </c>
    </row>
    <row r="1167" spans="15:16" x14ac:dyDescent="0.3">
      <c r="O1167" s="4">
        <v>18</v>
      </c>
      <c r="P1167" s="4">
        <v>100000</v>
      </c>
    </row>
    <row r="1168" spans="15:16" x14ac:dyDescent="0.3">
      <c r="O1168" s="3">
        <v>18</v>
      </c>
      <c r="P1168" s="3">
        <v>115000</v>
      </c>
    </row>
    <row r="1169" spans="15:16" x14ac:dyDescent="0.3">
      <c r="O1169" s="3">
        <v>18</v>
      </c>
      <c r="P1169" s="3">
        <v>120000</v>
      </c>
    </row>
    <row r="1170" spans="15:16" x14ac:dyDescent="0.3">
      <c r="O1170" s="3">
        <v>18</v>
      </c>
      <c r="P1170" s="3">
        <v>156000</v>
      </c>
    </row>
    <row r="1171" spans="15:16" x14ac:dyDescent="0.3">
      <c r="O1171" s="3">
        <v>18</v>
      </c>
      <c r="P1171" s="3">
        <v>160000</v>
      </c>
    </row>
    <row r="1172" spans="15:16" x14ac:dyDescent="0.3">
      <c r="O1172" s="4">
        <v>19</v>
      </c>
      <c r="P1172" s="4">
        <v>66000</v>
      </c>
    </row>
    <row r="1173" spans="15:16" x14ac:dyDescent="0.3">
      <c r="O1173" s="4">
        <v>19</v>
      </c>
      <c r="P1173" s="4">
        <v>69000</v>
      </c>
    </row>
    <row r="1174" spans="15:16" x14ac:dyDescent="0.3">
      <c r="O1174" s="3">
        <v>19</v>
      </c>
      <c r="P1174" s="3">
        <v>75000</v>
      </c>
    </row>
    <row r="1175" spans="15:16" x14ac:dyDescent="0.3">
      <c r="O1175" s="4">
        <v>19</v>
      </c>
      <c r="P1175" s="4">
        <v>87000</v>
      </c>
    </row>
    <row r="1176" spans="15:16" x14ac:dyDescent="0.3">
      <c r="O1176" s="3">
        <v>19</v>
      </c>
      <c r="P1176" s="3">
        <v>90000</v>
      </c>
    </row>
    <row r="1177" spans="15:16" x14ac:dyDescent="0.3">
      <c r="O1177" s="4">
        <v>19</v>
      </c>
      <c r="P1177" s="4">
        <v>95500</v>
      </c>
    </row>
    <row r="1178" spans="15:16" x14ac:dyDescent="0.3">
      <c r="O1178" s="4">
        <v>19</v>
      </c>
      <c r="P1178" s="4">
        <v>123600</v>
      </c>
    </row>
    <row r="1179" spans="15:16" x14ac:dyDescent="0.3">
      <c r="O1179" s="3">
        <v>20</v>
      </c>
      <c r="P1179" s="3">
        <v>36000</v>
      </c>
    </row>
    <row r="1180" spans="15:16" x14ac:dyDescent="0.3">
      <c r="O1180" s="4">
        <v>20</v>
      </c>
      <c r="P1180" s="4">
        <v>44000</v>
      </c>
    </row>
    <row r="1181" spans="15:16" x14ac:dyDescent="0.3">
      <c r="O1181" s="4">
        <v>20</v>
      </c>
      <c r="P1181" s="4">
        <v>54000</v>
      </c>
    </row>
    <row r="1182" spans="15:16" x14ac:dyDescent="0.3">
      <c r="O1182" s="4">
        <v>20</v>
      </c>
      <c r="P1182" s="4">
        <v>55000</v>
      </c>
    </row>
    <row r="1183" spans="15:16" x14ac:dyDescent="0.3">
      <c r="O1183" s="4">
        <v>20</v>
      </c>
      <c r="P1183" s="4">
        <v>58800</v>
      </c>
    </row>
    <row r="1184" spans="15:16" x14ac:dyDescent="0.3">
      <c r="O1184" s="3">
        <v>20</v>
      </c>
      <c r="P1184" s="3">
        <v>65000</v>
      </c>
    </row>
    <row r="1185" spans="15:16" x14ac:dyDescent="0.3">
      <c r="O1185" s="3">
        <v>20</v>
      </c>
      <c r="P1185" s="3">
        <v>70000</v>
      </c>
    </row>
    <row r="1186" spans="15:16" x14ac:dyDescent="0.3">
      <c r="O1186" s="4">
        <v>20</v>
      </c>
      <c r="P1186" s="4">
        <v>70000</v>
      </c>
    </row>
    <row r="1187" spans="15:16" x14ac:dyDescent="0.3">
      <c r="O1187" s="4">
        <v>20</v>
      </c>
      <c r="P1187" s="4">
        <v>74000</v>
      </c>
    </row>
    <row r="1188" spans="15:16" x14ac:dyDescent="0.3">
      <c r="O1188" s="4">
        <v>20</v>
      </c>
      <c r="P1188" s="4">
        <v>75000</v>
      </c>
    </row>
    <row r="1189" spans="15:16" x14ac:dyDescent="0.3">
      <c r="O1189" s="4">
        <v>20</v>
      </c>
      <c r="P1189" s="4">
        <v>75000</v>
      </c>
    </row>
    <row r="1190" spans="15:16" x14ac:dyDescent="0.3">
      <c r="O1190" s="4">
        <v>20</v>
      </c>
      <c r="P1190" s="4">
        <v>79000</v>
      </c>
    </row>
    <row r="1191" spans="15:16" x14ac:dyDescent="0.3">
      <c r="O1191" s="4">
        <v>20</v>
      </c>
      <c r="P1191" s="4">
        <v>80000</v>
      </c>
    </row>
    <row r="1192" spans="15:16" x14ac:dyDescent="0.3">
      <c r="O1192" s="4">
        <v>20</v>
      </c>
      <c r="P1192" s="4">
        <v>80000</v>
      </c>
    </row>
    <row r="1193" spans="15:16" x14ac:dyDescent="0.3">
      <c r="O1193" s="3">
        <v>20</v>
      </c>
      <c r="P1193" s="3">
        <v>80000</v>
      </c>
    </row>
    <row r="1194" spans="15:16" x14ac:dyDescent="0.3">
      <c r="O1194" s="3">
        <v>20</v>
      </c>
      <c r="P1194" s="3">
        <v>82000</v>
      </c>
    </row>
    <row r="1195" spans="15:16" x14ac:dyDescent="0.3">
      <c r="O1195" s="3">
        <v>20</v>
      </c>
      <c r="P1195" s="3">
        <v>85000</v>
      </c>
    </row>
    <row r="1196" spans="15:16" x14ac:dyDescent="0.3">
      <c r="O1196" s="4">
        <v>20</v>
      </c>
      <c r="P1196" s="4">
        <v>85000</v>
      </c>
    </row>
    <row r="1197" spans="15:16" x14ac:dyDescent="0.3">
      <c r="O1197" s="4">
        <v>20</v>
      </c>
      <c r="P1197" s="4">
        <v>93000</v>
      </c>
    </row>
    <row r="1198" spans="15:16" x14ac:dyDescent="0.3">
      <c r="O1198" s="3">
        <v>20</v>
      </c>
      <c r="P1198" s="3">
        <v>95000</v>
      </c>
    </row>
    <row r="1199" spans="15:16" x14ac:dyDescent="0.3">
      <c r="O1199" s="4">
        <v>20</v>
      </c>
      <c r="P1199" s="4">
        <v>100000</v>
      </c>
    </row>
    <row r="1200" spans="15:16" x14ac:dyDescent="0.3">
      <c r="O1200" s="3">
        <v>20</v>
      </c>
      <c r="P1200" s="3">
        <v>105000</v>
      </c>
    </row>
    <row r="1201" spans="15:16" x14ac:dyDescent="0.3">
      <c r="O1201" s="4">
        <v>20</v>
      </c>
      <c r="P1201" s="4">
        <v>122000</v>
      </c>
    </row>
    <row r="1202" spans="15:16" x14ac:dyDescent="0.3">
      <c r="O1202" s="4">
        <v>20</v>
      </c>
      <c r="P1202" s="4">
        <v>130000</v>
      </c>
    </row>
    <row r="1203" spans="15:16" x14ac:dyDescent="0.3">
      <c r="O1203" s="3">
        <v>20</v>
      </c>
      <c r="P1203" s="3">
        <v>130000</v>
      </c>
    </row>
    <row r="1204" spans="15:16" x14ac:dyDescent="0.3">
      <c r="O1204" s="3">
        <v>20</v>
      </c>
      <c r="P1204" s="3">
        <v>200000</v>
      </c>
    </row>
    <row r="1205" spans="15:16" x14ac:dyDescent="0.3">
      <c r="O1205" s="3">
        <v>20</v>
      </c>
      <c r="P1205" s="3">
        <v>200000</v>
      </c>
    </row>
    <row r="1206" spans="15:16" x14ac:dyDescent="0.3">
      <c r="O1206" s="4">
        <v>20</v>
      </c>
      <c r="P1206" s="4">
        <v>250000</v>
      </c>
    </row>
    <row r="1207" spans="15:16" x14ac:dyDescent="0.3">
      <c r="O1207" s="4">
        <v>21</v>
      </c>
      <c r="P1207" s="4">
        <v>72000</v>
      </c>
    </row>
    <row r="1208" spans="15:16" x14ac:dyDescent="0.3">
      <c r="O1208" s="4">
        <v>21</v>
      </c>
      <c r="P1208" s="4">
        <v>80000</v>
      </c>
    </row>
    <row r="1209" spans="15:16" x14ac:dyDescent="0.3">
      <c r="O1209" s="4">
        <v>21</v>
      </c>
      <c r="P1209" s="4">
        <v>83000</v>
      </c>
    </row>
    <row r="1210" spans="15:16" x14ac:dyDescent="0.3">
      <c r="O1210" s="3">
        <v>22</v>
      </c>
      <c r="P1210" s="3">
        <v>46000</v>
      </c>
    </row>
    <row r="1211" spans="15:16" x14ac:dyDescent="0.3">
      <c r="O1211" s="4">
        <v>22</v>
      </c>
      <c r="P1211" s="4">
        <v>50000</v>
      </c>
    </row>
    <row r="1212" spans="15:16" x14ac:dyDescent="0.3">
      <c r="O1212" s="4">
        <v>22</v>
      </c>
      <c r="P1212" s="4">
        <v>70000</v>
      </c>
    </row>
    <row r="1213" spans="15:16" x14ac:dyDescent="0.3">
      <c r="O1213" s="3">
        <v>22</v>
      </c>
      <c r="P1213" s="3">
        <v>72000</v>
      </c>
    </row>
    <row r="1214" spans="15:16" x14ac:dyDescent="0.3">
      <c r="O1214" s="3">
        <v>22</v>
      </c>
      <c r="P1214" s="3">
        <v>76000</v>
      </c>
    </row>
    <row r="1215" spans="15:16" x14ac:dyDescent="0.3">
      <c r="O1215" s="3">
        <v>23</v>
      </c>
      <c r="P1215" s="3">
        <v>90000</v>
      </c>
    </row>
    <row r="1216" spans="15:16" x14ac:dyDescent="0.3">
      <c r="O1216" s="3">
        <v>23</v>
      </c>
      <c r="P1216" s="3">
        <v>110000</v>
      </c>
    </row>
    <row r="1217" spans="15:16" x14ac:dyDescent="0.3">
      <c r="O1217" s="4">
        <v>24</v>
      </c>
      <c r="P1217" s="4">
        <v>130000</v>
      </c>
    </row>
    <row r="1218" spans="15:16" x14ac:dyDescent="0.3">
      <c r="O1218" s="3">
        <v>25</v>
      </c>
      <c r="P1218" s="3">
        <v>55000</v>
      </c>
    </row>
    <row r="1219" spans="15:16" x14ac:dyDescent="0.3">
      <c r="O1219" s="4">
        <v>25</v>
      </c>
      <c r="P1219" s="4">
        <v>70000</v>
      </c>
    </row>
    <row r="1220" spans="15:16" x14ac:dyDescent="0.3">
      <c r="O1220" s="4">
        <v>25</v>
      </c>
      <c r="P1220" s="4">
        <v>75000</v>
      </c>
    </row>
    <row r="1221" spans="15:16" x14ac:dyDescent="0.3">
      <c r="O1221" s="3">
        <v>25</v>
      </c>
      <c r="P1221" s="3">
        <v>75000</v>
      </c>
    </row>
    <row r="1222" spans="15:16" x14ac:dyDescent="0.3">
      <c r="O1222" s="4">
        <v>25</v>
      </c>
      <c r="P1222" s="4">
        <v>75000</v>
      </c>
    </row>
    <row r="1223" spans="15:16" x14ac:dyDescent="0.3">
      <c r="O1223" s="3">
        <v>25</v>
      </c>
      <c r="P1223" s="3">
        <v>85000</v>
      </c>
    </row>
    <row r="1224" spans="15:16" x14ac:dyDescent="0.3">
      <c r="O1224" s="4">
        <v>25</v>
      </c>
      <c r="P1224" s="4">
        <v>100000</v>
      </c>
    </row>
    <row r="1225" spans="15:16" x14ac:dyDescent="0.3">
      <c r="O1225" s="4">
        <v>26</v>
      </c>
      <c r="P1225" s="4">
        <v>93000</v>
      </c>
    </row>
    <row r="1226" spans="15:16" x14ac:dyDescent="0.3">
      <c r="O1226" s="4">
        <v>27</v>
      </c>
      <c r="P1226" s="4">
        <v>57000</v>
      </c>
    </row>
    <row r="1227" spans="15:16" x14ac:dyDescent="0.3">
      <c r="O1227" s="3">
        <v>27</v>
      </c>
      <c r="P1227" s="3">
        <v>90000</v>
      </c>
    </row>
    <row r="1228" spans="15:16" x14ac:dyDescent="0.3">
      <c r="O1228" s="3">
        <v>28</v>
      </c>
      <c r="P1228" s="3">
        <v>78500</v>
      </c>
    </row>
    <row r="1229" spans="15:16" x14ac:dyDescent="0.3">
      <c r="O1229" s="4">
        <v>29</v>
      </c>
      <c r="P1229" s="4">
        <v>28800</v>
      </c>
    </row>
    <row r="1230" spans="15:16" x14ac:dyDescent="0.3">
      <c r="O1230" s="4">
        <v>30</v>
      </c>
      <c r="P1230" s="4">
        <v>55000</v>
      </c>
    </row>
    <row r="1231" spans="15:16" x14ac:dyDescent="0.3">
      <c r="O1231" s="4">
        <v>30</v>
      </c>
      <c r="P1231" s="4">
        <v>60000</v>
      </c>
    </row>
    <row r="1232" spans="15:16" x14ac:dyDescent="0.3">
      <c r="O1232" s="3">
        <v>30</v>
      </c>
      <c r="P1232" s="3">
        <v>69000</v>
      </c>
    </row>
    <row r="1233" spans="15:16" x14ac:dyDescent="0.3">
      <c r="O1233" s="4">
        <v>30</v>
      </c>
      <c r="P1233" s="4">
        <v>110000</v>
      </c>
    </row>
    <row r="1234" spans="15:16" x14ac:dyDescent="0.3">
      <c r="O1234" s="4">
        <v>31</v>
      </c>
      <c r="P1234" s="4">
        <v>110000</v>
      </c>
    </row>
    <row r="1235" spans="15:16" x14ac:dyDescent="0.3">
      <c r="O1235" s="3">
        <v>40</v>
      </c>
      <c r="P1235" s="3">
        <v>70000</v>
      </c>
    </row>
  </sheetData>
  <mergeCells count="2">
    <mergeCell ref="B6:M7"/>
    <mergeCell ref="A1:J1"/>
  </mergeCells>
  <pageMargins left="0.511811024" right="0.511811024" top="0.78740157499999996" bottom="0.78740157499999996" header="0.31496062000000002" footer="0.31496062000000002"/>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2AEFB-FE11-4EE6-8137-9FD0193BFE5F}">
  <dimension ref="A1:N17"/>
  <sheetViews>
    <sheetView showGridLines="0" tabSelected="1" workbookViewId="0">
      <selection activeCell="M6" sqref="M6"/>
    </sheetView>
  </sheetViews>
  <sheetFormatPr defaultRowHeight="14.4" x14ac:dyDescent="0.3"/>
  <cols>
    <col min="2" max="2" width="45.6640625" bestFit="1" customWidth="1"/>
    <col min="3" max="3" width="20.44140625" customWidth="1"/>
    <col min="5" max="5" width="14.88671875" customWidth="1"/>
    <col min="6" max="6" width="12.88671875" customWidth="1"/>
    <col min="7" max="7" width="10.33203125" customWidth="1"/>
    <col min="8" max="8" width="12.5546875" customWidth="1"/>
    <col min="13" max="13" width="11.5546875" bestFit="1" customWidth="1"/>
    <col min="14" max="14" width="21.88671875" bestFit="1" customWidth="1"/>
    <col min="16" max="16" width="8.33203125" customWidth="1"/>
  </cols>
  <sheetData>
    <row r="1" spans="1:14" x14ac:dyDescent="0.3">
      <c r="A1" t="s">
        <v>499</v>
      </c>
    </row>
    <row r="3" spans="1:14" x14ac:dyDescent="0.3">
      <c r="B3" s="8"/>
      <c r="C3" s="8"/>
    </row>
    <row r="4" spans="1:14" ht="17.399999999999999" customHeight="1" x14ac:dyDescent="0.3">
      <c r="A4" s="15"/>
      <c r="B4" s="13" t="s">
        <v>415</v>
      </c>
      <c r="C4" s="9" t="s">
        <v>416</v>
      </c>
    </row>
    <row r="5" spans="1:14" ht="17.399999999999999" customHeight="1" x14ac:dyDescent="0.3">
      <c r="A5" s="15"/>
      <c r="B5" s="72" t="s">
        <v>0</v>
      </c>
      <c r="C5" s="10" t="s">
        <v>417</v>
      </c>
      <c r="G5" s="5"/>
      <c r="H5" s="5"/>
    </row>
    <row r="6" spans="1:14" ht="17.399999999999999" customHeight="1" x14ac:dyDescent="0.3">
      <c r="A6" s="15"/>
      <c r="B6" s="75" t="s">
        <v>1</v>
      </c>
      <c r="C6" s="11" t="s">
        <v>418</v>
      </c>
      <c r="G6" s="5"/>
      <c r="H6" s="5"/>
      <c r="M6" s="92" t="s">
        <v>560</v>
      </c>
      <c r="N6" s="92" t="s">
        <v>415</v>
      </c>
    </row>
    <row r="7" spans="1:14" ht="17.399999999999999" customHeight="1" x14ac:dyDescent="0.3">
      <c r="A7" s="15"/>
      <c r="B7" s="75" t="s">
        <v>2</v>
      </c>
      <c r="C7" s="11" t="s">
        <v>418</v>
      </c>
      <c r="G7" s="5"/>
      <c r="H7" s="5"/>
      <c r="M7" s="56" t="s">
        <v>508</v>
      </c>
      <c r="N7" s="93" t="s">
        <v>0</v>
      </c>
    </row>
    <row r="8" spans="1:14" ht="17.399999999999999" customHeight="1" x14ac:dyDescent="0.3">
      <c r="A8" s="15"/>
      <c r="B8" s="75" t="s">
        <v>3</v>
      </c>
      <c r="C8" s="11" t="s">
        <v>418</v>
      </c>
      <c r="G8" s="5"/>
      <c r="H8" s="5"/>
      <c r="M8" s="56" t="s">
        <v>508</v>
      </c>
      <c r="N8" s="93" t="s">
        <v>1</v>
      </c>
    </row>
    <row r="9" spans="1:14" ht="17.399999999999999" customHeight="1" x14ac:dyDescent="0.3">
      <c r="A9" s="15"/>
      <c r="B9" s="75" t="s">
        <v>4</v>
      </c>
      <c r="C9" s="11" t="s">
        <v>417</v>
      </c>
      <c r="G9" s="5"/>
      <c r="H9" s="5"/>
      <c r="M9" s="56" t="s">
        <v>508</v>
      </c>
      <c r="N9" s="93" t="s">
        <v>509</v>
      </c>
    </row>
    <row r="10" spans="1:14" ht="17.399999999999999" customHeight="1" x14ac:dyDescent="0.3">
      <c r="A10" s="15"/>
      <c r="B10" s="75" t="s">
        <v>5</v>
      </c>
      <c r="C10" s="11" t="s">
        <v>417</v>
      </c>
      <c r="G10" s="5"/>
      <c r="H10" s="5"/>
      <c r="M10" s="56" t="s">
        <v>508</v>
      </c>
      <c r="N10" s="93" t="s">
        <v>4</v>
      </c>
    </row>
    <row r="11" spans="1:14" ht="17.399999999999999" customHeight="1" x14ac:dyDescent="0.3">
      <c r="A11" s="15"/>
      <c r="B11" s="75" t="s">
        <v>6</v>
      </c>
      <c r="C11" s="11" t="s">
        <v>419</v>
      </c>
      <c r="M11" s="56" t="s">
        <v>508</v>
      </c>
      <c r="N11" s="93" t="s">
        <v>6</v>
      </c>
    </row>
    <row r="12" spans="1:14" ht="17.399999999999999" customHeight="1" x14ac:dyDescent="0.3">
      <c r="A12" s="15"/>
      <c r="B12" s="75" t="s">
        <v>7</v>
      </c>
      <c r="C12" s="11" t="s">
        <v>418</v>
      </c>
    </row>
    <row r="13" spans="1:14" ht="17.399999999999999" customHeight="1" x14ac:dyDescent="0.3">
      <c r="A13" s="15"/>
      <c r="B13" s="75" t="s">
        <v>8</v>
      </c>
      <c r="C13" s="11" t="s">
        <v>417</v>
      </c>
    </row>
    <row r="14" spans="1:14" ht="17.399999999999999" customHeight="1" x14ac:dyDescent="0.3">
      <c r="A14" s="15"/>
      <c r="B14" s="75" t="s">
        <v>9</v>
      </c>
      <c r="C14" s="11" t="s">
        <v>417</v>
      </c>
    </row>
    <row r="15" spans="1:14" ht="17.399999999999999" customHeight="1" x14ac:dyDescent="0.3">
      <c r="A15" s="15"/>
      <c r="B15" s="75" t="s">
        <v>10</v>
      </c>
      <c r="C15" s="11" t="s">
        <v>417</v>
      </c>
    </row>
    <row r="16" spans="1:14" ht="17.399999999999999" customHeight="1" x14ac:dyDescent="0.3">
      <c r="A16" s="15"/>
      <c r="B16" s="75" t="s">
        <v>11</v>
      </c>
      <c r="C16" s="11" t="s">
        <v>418</v>
      </c>
    </row>
    <row r="17" spans="1:3" ht="17.399999999999999" customHeight="1" x14ac:dyDescent="0.3">
      <c r="A17" s="15"/>
      <c r="B17" s="73" t="s">
        <v>12</v>
      </c>
      <c r="C17" s="12" t="s">
        <v>419</v>
      </c>
    </row>
  </sheetData>
  <hyperlinks>
    <hyperlink ref="B5" location="'Variável Age'!A1" display="Age" xr:uid="{78BE1EBA-499C-4C0F-B19F-E60FBB194968}"/>
    <hyperlink ref="B17" location="'Variável Company size'!A1" display="Company size" xr:uid="{27D3DD83-4B37-4B1F-A63A-3588B133FD56}"/>
    <hyperlink ref="B6" location="'Variável Gender'!A1" display="Gender" xr:uid="{B52AA844-408F-4312-A13E-3B4939A1ED4F}"/>
    <hyperlink ref="B7" location="'Variável City'!A1" display="City" xr:uid="{5BA6C7EE-9913-4C58-8901-E2C0415B4EEA}"/>
    <hyperlink ref="B8" location="'Variável Position'!A1" display="Position " xr:uid="{E6C1CD58-4238-4E53-B497-973A83E9B1F9}"/>
    <hyperlink ref="B9" location="'Variável Total years of experie'!A1" display="Total years of experience" xr:uid="{478E11F4-B1B6-4A83-AC2B-269BBC74B508}"/>
    <hyperlink ref="B10" location="'Variável experience in Germany'!A1" display="Years of experience in Germany" xr:uid="{E8CFFF07-174A-4415-86B4-06C83B8AB613}"/>
    <hyperlink ref="B11" location="'Variável Seniority level'!A1" display="Seniority level" xr:uid="{0FE79393-F64D-47DF-9960-2401C06C98F9}"/>
    <hyperlink ref="B12" location="'Variável Your main technology'!A1" display="Your main technology / programming language" xr:uid="{815797BB-7636-43BA-ABA5-0769540F49BE}"/>
    <hyperlink ref="B13" location="'Variável Yearly brutto salary '!A1" display="Yearly brutto salary (without bonus and stocks) in EUR" xr:uid="{174432EB-4ABD-4334-A53C-513F86501872}"/>
    <hyperlink ref="B14" location="'Variável Yearly bonus'!A1" display="Yearly bonus + stocks in EUR" xr:uid="{A14CDF56-45DC-487C-B329-F3D0797F564B}"/>
    <hyperlink ref="B15" location="'Variável Number of vacation day'!A1" display="Number of vacation days" xr:uid="{22EB8839-A3F6-4533-A70C-7AE7BB14DCFC}"/>
    <hyperlink ref="B16" location="'Variável Main language at work'!A1" display="Main language at work" xr:uid="{9B57D836-97DB-4345-9ED2-0D47A81B7343}"/>
    <hyperlink ref="N7" location="'Age x Yearly bruto salary'!A1" display="Age" xr:uid="{50933AA7-3F35-4F9C-B494-2410EC5F1644}"/>
    <hyperlink ref="N8" location="'Gender x Yearly bruto salary'!A1" display="Gender" xr:uid="{3BAF0630-4FC2-44BE-9453-C3DC25603C60}"/>
    <hyperlink ref="N9" location="'Position x Yearly bruto salary'!A1" display="Position" xr:uid="{6C558EB9-F1FF-4383-9CCC-2D84BE1607DB}"/>
    <hyperlink ref="N10" location="'Total years of experience x sal'!A1" display="Total years of experience" xr:uid="{9E04BE93-DEF2-4678-899C-C77843FD1136}"/>
    <hyperlink ref="N11" location="'Seniority level x salary'!A1" display="Seniority level" xr:uid="{AC776045-B093-4A0F-8C4D-0D4E2302349A}"/>
  </hyperlinks>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7D20-6E44-452A-A271-A7DFA89342FD}">
  <dimension ref="A1:U1242"/>
  <sheetViews>
    <sheetView showGridLines="0" workbookViewId="0">
      <selection activeCell="N21" sqref="N21"/>
    </sheetView>
  </sheetViews>
  <sheetFormatPr defaultRowHeight="14.4" x14ac:dyDescent="0.3"/>
  <cols>
    <col min="2" max="2" width="17.44140625" bestFit="1" customWidth="1"/>
    <col min="3" max="3" width="9.88671875" bestFit="1" customWidth="1"/>
    <col min="4" max="4" width="10.44140625" bestFit="1" customWidth="1"/>
    <col min="5" max="5" width="9.44140625" bestFit="1" customWidth="1"/>
    <col min="6" max="6" width="7.33203125" bestFit="1" customWidth="1"/>
    <col min="7" max="7" width="12" bestFit="1" customWidth="1"/>
    <col min="10" max="10" width="13.88671875" customWidth="1"/>
    <col min="14" max="14" width="33.44140625" bestFit="1" customWidth="1"/>
    <col min="15" max="15" width="18.6640625" customWidth="1"/>
  </cols>
  <sheetData>
    <row r="1" spans="1:21" x14ac:dyDescent="0.3">
      <c r="A1" s="150" t="s">
        <v>558</v>
      </c>
      <c r="B1" s="150"/>
      <c r="C1" s="150"/>
      <c r="D1" s="150"/>
      <c r="E1" s="150"/>
      <c r="F1" s="150"/>
      <c r="G1" s="150"/>
      <c r="H1" s="150"/>
      <c r="I1" s="150"/>
      <c r="J1" s="150"/>
      <c r="N1" t="s">
        <v>6</v>
      </c>
      <c r="O1" t="s">
        <v>555</v>
      </c>
      <c r="Q1" s="4"/>
    </row>
    <row r="2" spans="1:21" x14ac:dyDescent="0.3">
      <c r="N2" t="s">
        <v>315</v>
      </c>
      <c r="O2">
        <v>150000</v>
      </c>
      <c r="Q2" s="125" t="s">
        <v>16</v>
      </c>
      <c r="R2" s="125" t="s">
        <v>28</v>
      </c>
      <c r="S2" s="125" t="s">
        <v>26</v>
      </c>
      <c r="T2" s="125" t="s">
        <v>24</v>
      </c>
      <c r="U2" s="130" t="s">
        <v>62</v>
      </c>
    </row>
    <row r="3" spans="1:21" x14ac:dyDescent="0.3">
      <c r="N3" t="s">
        <v>242</v>
      </c>
      <c r="O3">
        <v>115000</v>
      </c>
      <c r="Q3">
        <v>76500</v>
      </c>
      <c r="R3">
        <v>10001</v>
      </c>
      <c r="S3">
        <v>10164</v>
      </c>
      <c r="T3">
        <v>120000</v>
      </c>
      <c r="U3">
        <v>156000</v>
      </c>
    </row>
    <row r="4" spans="1:21" x14ac:dyDescent="0.3">
      <c r="N4" t="s">
        <v>205</v>
      </c>
      <c r="O4">
        <v>200000</v>
      </c>
      <c r="Q4">
        <v>49000</v>
      </c>
      <c r="R4">
        <v>37500</v>
      </c>
      <c r="S4">
        <v>43000</v>
      </c>
      <c r="T4">
        <v>25000</v>
      </c>
      <c r="U4">
        <v>200000</v>
      </c>
    </row>
    <row r="5" spans="1:21" x14ac:dyDescent="0.3">
      <c r="N5" t="s">
        <v>224</v>
      </c>
      <c r="O5">
        <v>100000</v>
      </c>
      <c r="Q5">
        <v>200000</v>
      </c>
      <c r="R5">
        <v>29000</v>
      </c>
      <c r="S5">
        <v>60000</v>
      </c>
      <c r="T5">
        <v>140000</v>
      </c>
      <c r="U5">
        <v>95000</v>
      </c>
    </row>
    <row r="6" spans="1:21" x14ac:dyDescent="0.3">
      <c r="N6" t="s">
        <v>354</v>
      </c>
      <c r="O6">
        <v>54179.13</v>
      </c>
      <c r="Q6">
        <v>160000</v>
      </c>
      <c r="R6">
        <v>24000</v>
      </c>
      <c r="S6">
        <v>38000</v>
      </c>
      <c r="T6">
        <v>84000</v>
      </c>
      <c r="U6">
        <v>120000</v>
      </c>
    </row>
    <row r="7" spans="1:21" x14ac:dyDescent="0.3">
      <c r="B7" s="151" t="s">
        <v>557</v>
      </c>
      <c r="C7" s="152"/>
      <c r="D7" s="152"/>
      <c r="E7" s="152"/>
      <c r="F7" s="152"/>
      <c r="G7" s="153"/>
      <c r="N7" t="s">
        <v>62</v>
      </c>
      <c r="O7">
        <v>156000</v>
      </c>
      <c r="Q7">
        <v>64000</v>
      </c>
      <c r="R7">
        <v>54000</v>
      </c>
      <c r="S7">
        <v>55000</v>
      </c>
      <c r="T7">
        <v>70000</v>
      </c>
      <c r="U7">
        <v>95000</v>
      </c>
    </row>
    <row r="8" spans="1:21" x14ac:dyDescent="0.3">
      <c r="B8" s="154"/>
      <c r="C8" s="155"/>
      <c r="D8" s="155"/>
      <c r="E8" s="155"/>
      <c r="F8" s="155"/>
      <c r="G8" s="156"/>
      <c r="N8" t="s">
        <v>62</v>
      </c>
      <c r="O8">
        <v>200000</v>
      </c>
      <c r="Q8">
        <v>75000</v>
      </c>
      <c r="R8">
        <v>52000</v>
      </c>
      <c r="S8">
        <v>22000</v>
      </c>
      <c r="T8">
        <v>75000</v>
      </c>
      <c r="U8">
        <v>80000</v>
      </c>
    </row>
    <row r="9" spans="1:21" x14ac:dyDescent="0.3">
      <c r="B9" s="61" t="s">
        <v>491</v>
      </c>
      <c r="C9" s="131" t="s">
        <v>427</v>
      </c>
      <c r="D9" s="92" t="s">
        <v>482</v>
      </c>
      <c r="E9" s="92" t="s">
        <v>483</v>
      </c>
      <c r="F9" s="92" t="s">
        <v>514</v>
      </c>
      <c r="G9" s="92" t="s">
        <v>515</v>
      </c>
      <c r="N9" t="s">
        <v>62</v>
      </c>
      <c r="O9">
        <v>95000</v>
      </c>
      <c r="Q9">
        <v>45000</v>
      </c>
      <c r="R9">
        <v>30000</v>
      </c>
      <c r="S9">
        <v>24000</v>
      </c>
      <c r="T9">
        <v>75000</v>
      </c>
      <c r="U9">
        <v>150000</v>
      </c>
    </row>
    <row r="10" spans="1:21" x14ac:dyDescent="0.3">
      <c r="B10" s="125" t="s">
        <v>16</v>
      </c>
      <c r="C10" s="49">
        <f>COUNTIF(Tabela1[Seniority level],B10)</f>
        <v>565</v>
      </c>
      <c r="D10" s="106">
        <f>AVERAGE(O673:O1237)</f>
        <v>74137.420212765952</v>
      </c>
      <c r="E10" s="106">
        <f>MEDIAN(O673:O1237)</f>
        <v>72000</v>
      </c>
      <c r="F10" s="28">
        <f>_xlfn.STDEV.P(O673:O1237)</f>
        <v>17913.984936663586</v>
      </c>
      <c r="G10" s="126">
        <f>_xlfn.VAR.P(O673:O1237)</f>
        <v>320910856.31100988</v>
      </c>
      <c r="N10" t="s">
        <v>62</v>
      </c>
      <c r="O10">
        <v>120000</v>
      </c>
      <c r="Q10">
        <v>100000</v>
      </c>
      <c r="R10">
        <v>21120</v>
      </c>
      <c r="S10">
        <v>25000</v>
      </c>
      <c r="T10">
        <v>100000</v>
      </c>
      <c r="U10">
        <v>85000</v>
      </c>
    </row>
    <row r="11" spans="1:21" x14ac:dyDescent="0.3">
      <c r="B11" s="125" t="s">
        <v>28</v>
      </c>
      <c r="C11" s="49">
        <f>COUNTIF(Tabela1[Seniority level],B11)</f>
        <v>366</v>
      </c>
      <c r="D11" s="106">
        <f>AVERAGE(O300:O665)</f>
        <v>58623.569863013698</v>
      </c>
      <c r="E11" s="106">
        <f>MEDIAN(O300:O665)</f>
        <v>60000</v>
      </c>
      <c r="F11" s="28">
        <f>_xlfn.STDEV.P(O300:O665)</f>
        <v>14948.925072041224</v>
      </c>
      <c r="G11" s="126">
        <f>_xlfn.VAR.P(O300:O665)</f>
        <v>223470360.80950272</v>
      </c>
      <c r="N11" t="s">
        <v>62</v>
      </c>
      <c r="O11">
        <v>95000</v>
      </c>
      <c r="Q11">
        <v>60000</v>
      </c>
      <c r="R11">
        <v>57000</v>
      </c>
      <c r="S11">
        <v>11500</v>
      </c>
      <c r="T11">
        <v>150000</v>
      </c>
      <c r="U11">
        <v>90000</v>
      </c>
    </row>
    <row r="12" spans="1:21" x14ac:dyDescent="0.3">
      <c r="B12" s="125" t="s">
        <v>26</v>
      </c>
      <c r="C12" s="49">
        <f>COUNTIF(Tabela1[Seniority level],B12)</f>
        <v>79</v>
      </c>
      <c r="D12" s="106">
        <f>AVERAGE(O53:O131)</f>
        <v>49980.556962025315</v>
      </c>
      <c r="E12" s="106">
        <f>MEDIAN(O53:O131)</f>
        <v>48000</v>
      </c>
      <c r="F12" s="28">
        <f>_xlfn.STDEV.P(O53:O131)</f>
        <v>31074.525981189418</v>
      </c>
      <c r="G12" s="126">
        <f>_xlfn.VAR.P(O53:O131)</f>
        <v>965626164.95561612</v>
      </c>
      <c r="N12" t="s">
        <v>62</v>
      </c>
      <c r="O12">
        <v>80000</v>
      </c>
      <c r="Q12">
        <v>60000</v>
      </c>
      <c r="R12">
        <v>50000</v>
      </c>
      <c r="S12">
        <v>25300</v>
      </c>
      <c r="T12">
        <v>70000</v>
      </c>
      <c r="U12">
        <v>100000</v>
      </c>
    </row>
    <row r="13" spans="1:21" x14ac:dyDescent="0.3">
      <c r="B13" s="125" t="s">
        <v>24</v>
      </c>
      <c r="C13" s="49">
        <f>COUNTIF(Tabela1[Seniority level],B13)</f>
        <v>166</v>
      </c>
      <c r="D13" s="106">
        <f>AVERAGE(O133:O298)</f>
        <v>88722.710843373497</v>
      </c>
      <c r="E13" s="106">
        <f>MEDIAN(O133:O298)</f>
        <v>85000</v>
      </c>
      <c r="F13" s="28">
        <f>_xlfn.STDEV.P(O133:O298)</f>
        <v>25486.677512048045</v>
      </c>
      <c r="G13" s="126">
        <f>_xlfn.VAR.P(O133:O298)</f>
        <v>649570730.60313547</v>
      </c>
      <c r="N13" t="s">
        <v>62</v>
      </c>
      <c r="O13">
        <v>150000</v>
      </c>
      <c r="Q13">
        <v>67000</v>
      </c>
      <c r="R13">
        <v>27000</v>
      </c>
      <c r="S13">
        <v>54000</v>
      </c>
      <c r="T13">
        <v>75000</v>
      </c>
      <c r="U13">
        <v>100000</v>
      </c>
    </row>
    <row r="14" spans="1:21" x14ac:dyDescent="0.3">
      <c r="B14" s="130" t="s">
        <v>62</v>
      </c>
      <c r="C14" s="116">
        <f>COUNTIF(Tabela1[Seniority level],B14)</f>
        <v>44</v>
      </c>
      <c r="D14" s="127">
        <f>AVERAGE(O7:O50)</f>
        <v>100761.36363636363</v>
      </c>
      <c r="E14" s="127">
        <f>MEDIAN(O7:O50)</f>
        <v>92500</v>
      </c>
      <c r="F14" s="128">
        <f>_xlfn.STDEV.P(O7:O50)</f>
        <v>29932.402751936443</v>
      </c>
      <c r="G14" s="129">
        <f>_xlfn.VAR.P(O7:O50)</f>
        <v>895948734.50413227</v>
      </c>
      <c r="N14" t="s">
        <v>62</v>
      </c>
      <c r="O14">
        <v>85000</v>
      </c>
      <c r="Q14">
        <v>56000</v>
      </c>
      <c r="R14">
        <v>27000</v>
      </c>
      <c r="S14">
        <v>47000</v>
      </c>
      <c r="T14">
        <v>80000</v>
      </c>
      <c r="U14">
        <v>75000</v>
      </c>
    </row>
    <row r="15" spans="1:21" x14ac:dyDescent="0.3">
      <c r="B15" s="28"/>
      <c r="C15" s="105"/>
      <c r="D15" s="106"/>
      <c r="E15" s="106"/>
      <c r="F15" s="28"/>
      <c r="G15" s="28"/>
      <c r="N15" t="s">
        <v>62</v>
      </c>
      <c r="O15">
        <v>90000</v>
      </c>
      <c r="Q15">
        <v>49200</v>
      </c>
      <c r="R15">
        <v>55000</v>
      </c>
      <c r="S15">
        <v>48000</v>
      </c>
      <c r="T15">
        <v>65000</v>
      </c>
      <c r="U15">
        <v>80000</v>
      </c>
    </row>
    <row r="16" spans="1:21" x14ac:dyDescent="0.3">
      <c r="B16" s="106"/>
      <c r="C16" s="105"/>
      <c r="D16" s="106"/>
      <c r="E16" s="106"/>
      <c r="F16" s="28"/>
      <c r="G16" s="28"/>
      <c r="N16" t="s">
        <v>62</v>
      </c>
      <c r="O16">
        <v>100000</v>
      </c>
      <c r="Q16">
        <v>70000</v>
      </c>
      <c r="R16">
        <v>17500</v>
      </c>
      <c r="S16">
        <v>47000</v>
      </c>
      <c r="T16">
        <v>70000</v>
      </c>
      <c r="U16">
        <v>180000</v>
      </c>
    </row>
    <row r="17" spans="14:21" x14ac:dyDescent="0.3">
      <c r="N17" t="s">
        <v>62</v>
      </c>
      <c r="O17">
        <v>100000</v>
      </c>
      <c r="Q17">
        <v>154000</v>
      </c>
      <c r="R17">
        <v>18700</v>
      </c>
      <c r="S17">
        <v>48000</v>
      </c>
      <c r="T17">
        <v>90000</v>
      </c>
      <c r="U17">
        <v>124000</v>
      </c>
    </row>
    <row r="18" spans="14:21" x14ac:dyDescent="0.3">
      <c r="N18" t="s">
        <v>62</v>
      </c>
      <c r="O18">
        <v>75000</v>
      </c>
      <c r="Q18">
        <v>65000</v>
      </c>
      <c r="R18">
        <v>21000</v>
      </c>
      <c r="S18">
        <v>30000</v>
      </c>
      <c r="T18">
        <v>115000</v>
      </c>
      <c r="U18">
        <v>60000</v>
      </c>
    </row>
    <row r="19" spans="14:21" x14ac:dyDescent="0.3">
      <c r="N19" t="s">
        <v>62</v>
      </c>
      <c r="O19">
        <v>80000</v>
      </c>
      <c r="Q19">
        <v>60000</v>
      </c>
      <c r="R19">
        <v>60000</v>
      </c>
      <c r="S19">
        <v>50000</v>
      </c>
      <c r="T19">
        <v>80000</v>
      </c>
      <c r="U19">
        <v>110000</v>
      </c>
    </row>
    <row r="20" spans="14:21" x14ac:dyDescent="0.3">
      <c r="N20" t="s">
        <v>62</v>
      </c>
      <c r="O20">
        <v>180000</v>
      </c>
      <c r="Q20">
        <v>100000</v>
      </c>
      <c r="R20">
        <v>72000</v>
      </c>
      <c r="S20">
        <v>55000</v>
      </c>
      <c r="T20">
        <v>115000</v>
      </c>
      <c r="U20">
        <v>90000</v>
      </c>
    </row>
    <row r="21" spans="14:21" x14ac:dyDescent="0.3">
      <c r="N21" t="s">
        <v>62</v>
      </c>
      <c r="O21">
        <v>124000</v>
      </c>
      <c r="Q21">
        <v>78000</v>
      </c>
      <c r="R21">
        <v>50000</v>
      </c>
      <c r="S21">
        <v>54000</v>
      </c>
      <c r="T21">
        <v>70000</v>
      </c>
      <c r="U21">
        <v>100000</v>
      </c>
    </row>
    <row r="22" spans="14:21" x14ac:dyDescent="0.3">
      <c r="N22" t="s">
        <v>62</v>
      </c>
      <c r="O22">
        <v>60000</v>
      </c>
      <c r="Q22">
        <v>80000</v>
      </c>
      <c r="R22">
        <v>50000</v>
      </c>
      <c r="S22">
        <v>42000</v>
      </c>
      <c r="T22">
        <v>120000</v>
      </c>
      <c r="U22">
        <v>90000</v>
      </c>
    </row>
    <row r="23" spans="14:21" x14ac:dyDescent="0.3">
      <c r="N23" t="s">
        <v>62</v>
      </c>
      <c r="O23">
        <v>110000</v>
      </c>
      <c r="Q23">
        <v>55000</v>
      </c>
      <c r="R23">
        <v>54000</v>
      </c>
      <c r="S23">
        <v>30000</v>
      </c>
      <c r="T23">
        <v>99000</v>
      </c>
      <c r="U23">
        <v>98000</v>
      </c>
    </row>
    <row r="24" spans="14:21" x14ac:dyDescent="0.3">
      <c r="N24" t="s">
        <v>62</v>
      </c>
      <c r="O24">
        <v>90000</v>
      </c>
      <c r="Q24">
        <v>75000</v>
      </c>
      <c r="R24">
        <v>57000</v>
      </c>
      <c r="S24">
        <v>48000</v>
      </c>
      <c r="T24">
        <v>66000</v>
      </c>
      <c r="U24">
        <v>90000</v>
      </c>
    </row>
    <row r="25" spans="14:21" x14ac:dyDescent="0.3">
      <c r="N25" t="s">
        <v>62</v>
      </c>
      <c r="O25">
        <v>100000</v>
      </c>
      <c r="Q25">
        <v>50000</v>
      </c>
      <c r="R25">
        <v>55000</v>
      </c>
      <c r="S25">
        <v>70000</v>
      </c>
      <c r="T25">
        <v>90000</v>
      </c>
      <c r="U25">
        <v>130000</v>
      </c>
    </row>
    <row r="26" spans="14:21" x14ac:dyDescent="0.3">
      <c r="N26" t="s">
        <v>62</v>
      </c>
      <c r="O26">
        <v>90000</v>
      </c>
      <c r="Q26">
        <v>50000</v>
      </c>
      <c r="R26">
        <v>55000</v>
      </c>
      <c r="S26">
        <v>65000</v>
      </c>
      <c r="T26">
        <v>90000</v>
      </c>
      <c r="U26">
        <v>82500</v>
      </c>
    </row>
    <row r="27" spans="14:21" x14ac:dyDescent="0.3">
      <c r="N27" t="s">
        <v>62</v>
      </c>
      <c r="O27">
        <v>98000</v>
      </c>
      <c r="Q27">
        <v>80000</v>
      </c>
      <c r="R27">
        <v>55000</v>
      </c>
      <c r="S27">
        <v>51000</v>
      </c>
      <c r="T27">
        <v>110000</v>
      </c>
      <c r="U27">
        <v>92000</v>
      </c>
    </row>
    <row r="28" spans="14:21" x14ac:dyDescent="0.3">
      <c r="N28" t="s">
        <v>62</v>
      </c>
      <c r="O28">
        <v>90000</v>
      </c>
      <c r="Q28">
        <v>85000</v>
      </c>
      <c r="R28">
        <v>60000</v>
      </c>
      <c r="S28">
        <v>45000</v>
      </c>
      <c r="T28">
        <v>95000</v>
      </c>
      <c r="U28">
        <v>110000</v>
      </c>
    </row>
    <row r="29" spans="14:21" x14ac:dyDescent="0.3">
      <c r="N29" t="s">
        <v>62</v>
      </c>
      <c r="O29">
        <v>130000</v>
      </c>
      <c r="Q29">
        <v>107000</v>
      </c>
      <c r="R29">
        <v>32000</v>
      </c>
      <c r="S29">
        <v>46000</v>
      </c>
      <c r="T29">
        <v>65000</v>
      </c>
      <c r="U29">
        <v>90000</v>
      </c>
    </row>
    <row r="30" spans="14:21" x14ac:dyDescent="0.3">
      <c r="N30" t="s">
        <v>62</v>
      </c>
      <c r="O30">
        <v>82500</v>
      </c>
      <c r="Q30">
        <v>70000</v>
      </c>
      <c r="R30">
        <v>60000</v>
      </c>
      <c r="S30">
        <v>36000</v>
      </c>
      <c r="T30">
        <v>85000</v>
      </c>
      <c r="U30">
        <v>90000</v>
      </c>
    </row>
    <row r="31" spans="14:21" x14ac:dyDescent="0.3">
      <c r="N31" t="s">
        <v>62</v>
      </c>
      <c r="O31">
        <v>92000</v>
      </c>
      <c r="Q31">
        <v>42000</v>
      </c>
      <c r="R31">
        <v>39000</v>
      </c>
      <c r="S31">
        <v>50000</v>
      </c>
      <c r="T31">
        <v>80000</v>
      </c>
      <c r="U31">
        <v>90000</v>
      </c>
    </row>
    <row r="32" spans="14:21" x14ac:dyDescent="0.3">
      <c r="N32" t="s">
        <v>62</v>
      </c>
      <c r="O32">
        <v>110000</v>
      </c>
      <c r="Q32">
        <v>75000</v>
      </c>
      <c r="R32">
        <v>20000</v>
      </c>
      <c r="S32">
        <v>42000</v>
      </c>
      <c r="T32">
        <v>90000</v>
      </c>
      <c r="U32">
        <v>90000</v>
      </c>
    </row>
    <row r="33" spans="14:21" x14ac:dyDescent="0.3">
      <c r="N33" t="s">
        <v>62</v>
      </c>
      <c r="O33">
        <v>90000</v>
      </c>
      <c r="Q33">
        <v>110000</v>
      </c>
      <c r="R33">
        <v>20000</v>
      </c>
      <c r="S33">
        <v>68000</v>
      </c>
      <c r="T33">
        <v>85000</v>
      </c>
      <c r="U33">
        <v>130000</v>
      </c>
    </row>
    <row r="34" spans="14:21" x14ac:dyDescent="0.3">
      <c r="N34" t="s">
        <v>62</v>
      </c>
      <c r="O34">
        <v>90000</v>
      </c>
      <c r="Q34">
        <v>70000</v>
      </c>
      <c r="R34">
        <v>57000</v>
      </c>
      <c r="S34">
        <v>48000</v>
      </c>
      <c r="T34">
        <v>75000</v>
      </c>
      <c r="U34">
        <v>95000</v>
      </c>
    </row>
    <row r="35" spans="14:21" x14ac:dyDescent="0.3">
      <c r="N35" t="s">
        <v>62</v>
      </c>
      <c r="O35">
        <v>90000</v>
      </c>
      <c r="Q35">
        <v>70000</v>
      </c>
      <c r="R35">
        <v>85000</v>
      </c>
      <c r="S35">
        <v>48000</v>
      </c>
      <c r="T35">
        <v>82000</v>
      </c>
      <c r="U35">
        <v>100000</v>
      </c>
    </row>
    <row r="36" spans="14:21" x14ac:dyDescent="0.3">
      <c r="N36" t="s">
        <v>62</v>
      </c>
      <c r="O36">
        <v>90000</v>
      </c>
      <c r="Q36">
        <v>73000</v>
      </c>
      <c r="R36">
        <v>63000</v>
      </c>
      <c r="S36">
        <v>43500</v>
      </c>
      <c r="T36">
        <v>91000</v>
      </c>
      <c r="U36">
        <v>60000</v>
      </c>
    </row>
    <row r="37" spans="14:21" x14ac:dyDescent="0.3">
      <c r="N37" t="s">
        <v>62</v>
      </c>
      <c r="O37">
        <v>130000</v>
      </c>
      <c r="Q37">
        <v>75000</v>
      </c>
      <c r="R37">
        <v>58000</v>
      </c>
      <c r="S37">
        <v>60000</v>
      </c>
      <c r="T37">
        <v>78000</v>
      </c>
      <c r="U37">
        <v>80000</v>
      </c>
    </row>
    <row r="38" spans="14:21" x14ac:dyDescent="0.3">
      <c r="N38" t="s">
        <v>62</v>
      </c>
      <c r="O38">
        <v>95000</v>
      </c>
      <c r="Q38">
        <v>85000</v>
      </c>
      <c r="R38">
        <v>37500</v>
      </c>
      <c r="S38">
        <v>45500</v>
      </c>
      <c r="T38">
        <v>240000</v>
      </c>
      <c r="U38">
        <v>75000</v>
      </c>
    </row>
    <row r="39" spans="14:21" x14ac:dyDescent="0.3">
      <c r="N39" t="s">
        <v>62</v>
      </c>
      <c r="O39">
        <v>100000</v>
      </c>
      <c r="Q39">
        <v>85000</v>
      </c>
      <c r="R39">
        <v>30000</v>
      </c>
      <c r="S39">
        <v>60000</v>
      </c>
      <c r="T39">
        <v>85000</v>
      </c>
      <c r="U39">
        <v>84000</v>
      </c>
    </row>
    <row r="40" spans="14:21" x14ac:dyDescent="0.3">
      <c r="N40" t="s">
        <v>62</v>
      </c>
      <c r="O40">
        <v>60000</v>
      </c>
      <c r="Q40">
        <v>65000</v>
      </c>
      <c r="R40">
        <v>65000</v>
      </c>
      <c r="S40">
        <v>37500</v>
      </c>
      <c r="T40">
        <v>80000</v>
      </c>
      <c r="U40">
        <v>50000</v>
      </c>
    </row>
    <row r="41" spans="14:21" x14ac:dyDescent="0.3">
      <c r="N41" t="s">
        <v>62</v>
      </c>
      <c r="O41">
        <v>80000</v>
      </c>
      <c r="Q41">
        <v>70000</v>
      </c>
      <c r="R41">
        <v>65000</v>
      </c>
      <c r="S41">
        <v>55000</v>
      </c>
      <c r="T41">
        <v>65000</v>
      </c>
      <c r="U41">
        <v>100000</v>
      </c>
    </row>
    <row r="42" spans="14:21" x14ac:dyDescent="0.3">
      <c r="N42" t="s">
        <v>62</v>
      </c>
      <c r="O42">
        <v>75000</v>
      </c>
      <c r="Q42">
        <v>57000</v>
      </c>
      <c r="R42">
        <v>60000</v>
      </c>
      <c r="S42">
        <v>45000</v>
      </c>
      <c r="T42">
        <v>76000</v>
      </c>
      <c r="U42">
        <v>159000</v>
      </c>
    </row>
    <row r="43" spans="14:21" x14ac:dyDescent="0.3">
      <c r="N43" t="s">
        <v>62</v>
      </c>
      <c r="O43">
        <v>84000</v>
      </c>
      <c r="Q43">
        <v>60000</v>
      </c>
      <c r="R43">
        <v>58000</v>
      </c>
      <c r="S43">
        <v>48000</v>
      </c>
      <c r="T43">
        <v>75000</v>
      </c>
      <c r="U43">
        <v>105000</v>
      </c>
    </row>
    <row r="44" spans="14:21" x14ac:dyDescent="0.3">
      <c r="N44" t="s">
        <v>62</v>
      </c>
      <c r="O44">
        <v>50000</v>
      </c>
      <c r="Q44">
        <v>66000</v>
      </c>
      <c r="R44">
        <v>55000</v>
      </c>
      <c r="S44">
        <v>52500</v>
      </c>
      <c r="T44">
        <v>52000</v>
      </c>
      <c r="U44">
        <v>90000</v>
      </c>
    </row>
    <row r="45" spans="14:21" x14ac:dyDescent="0.3">
      <c r="N45" t="s">
        <v>62</v>
      </c>
      <c r="O45">
        <v>100000</v>
      </c>
      <c r="Q45">
        <v>60000</v>
      </c>
      <c r="R45">
        <v>51000</v>
      </c>
      <c r="S45">
        <v>48000</v>
      </c>
      <c r="T45">
        <v>90000</v>
      </c>
      <c r="U45">
        <v>70000</v>
      </c>
    </row>
    <row r="46" spans="14:21" x14ac:dyDescent="0.3">
      <c r="N46" t="s">
        <v>62</v>
      </c>
      <c r="O46">
        <v>159000</v>
      </c>
      <c r="Q46">
        <v>60000</v>
      </c>
      <c r="R46">
        <v>100000</v>
      </c>
      <c r="S46">
        <v>49000</v>
      </c>
      <c r="T46">
        <v>70800</v>
      </c>
      <c r="U46">
        <v>93000</v>
      </c>
    </row>
    <row r="47" spans="14:21" x14ac:dyDescent="0.3">
      <c r="N47" t="s">
        <v>62</v>
      </c>
      <c r="O47">
        <v>105000</v>
      </c>
      <c r="Q47">
        <v>70000</v>
      </c>
      <c r="R47">
        <v>56000</v>
      </c>
      <c r="S47">
        <v>30000</v>
      </c>
      <c r="T47">
        <v>105000</v>
      </c>
    </row>
    <row r="48" spans="14:21" x14ac:dyDescent="0.3">
      <c r="N48" t="s">
        <v>62</v>
      </c>
      <c r="O48">
        <v>90000</v>
      </c>
      <c r="Q48">
        <v>90000</v>
      </c>
      <c r="R48">
        <v>40700</v>
      </c>
      <c r="S48">
        <v>30000</v>
      </c>
      <c r="T48">
        <v>122000</v>
      </c>
    </row>
    <row r="49" spans="14:20" x14ac:dyDescent="0.3">
      <c r="N49" t="s">
        <v>62</v>
      </c>
      <c r="O49">
        <v>70000</v>
      </c>
      <c r="Q49">
        <v>47500</v>
      </c>
      <c r="R49">
        <v>49850</v>
      </c>
      <c r="S49">
        <v>65000</v>
      </c>
      <c r="T49">
        <v>115000</v>
      </c>
    </row>
    <row r="50" spans="14:20" x14ac:dyDescent="0.3">
      <c r="N50" t="s">
        <v>62</v>
      </c>
      <c r="O50">
        <v>93000</v>
      </c>
      <c r="Q50">
        <v>70000</v>
      </c>
      <c r="R50">
        <v>50000</v>
      </c>
      <c r="S50">
        <v>57000</v>
      </c>
      <c r="T50">
        <v>90000</v>
      </c>
    </row>
    <row r="51" spans="14:20" x14ac:dyDescent="0.3">
      <c r="N51" t="s">
        <v>255</v>
      </c>
      <c r="O51">
        <v>20000</v>
      </c>
      <c r="Q51">
        <v>85000</v>
      </c>
      <c r="R51">
        <v>64000</v>
      </c>
      <c r="S51">
        <v>55000</v>
      </c>
      <c r="T51">
        <v>85000</v>
      </c>
    </row>
    <row r="52" spans="14:20" x14ac:dyDescent="0.3">
      <c r="N52" t="s">
        <v>367</v>
      </c>
      <c r="O52">
        <v>35000</v>
      </c>
      <c r="Q52">
        <v>70000</v>
      </c>
      <c r="R52">
        <v>74000</v>
      </c>
      <c r="S52">
        <v>77000</v>
      </c>
      <c r="T52">
        <v>85000</v>
      </c>
    </row>
    <row r="53" spans="14:20" x14ac:dyDescent="0.3">
      <c r="N53" t="s">
        <v>26</v>
      </c>
      <c r="O53">
        <v>10164</v>
      </c>
      <c r="Q53">
        <v>70000</v>
      </c>
      <c r="R53">
        <v>48000</v>
      </c>
      <c r="S53">
        <v>45000</v>
      </c>
      <c r="T53">
        <v>85000</v>
      </c>
    </row>
    <row r="54" spans="14:20" x14ac:dyDescent="0.3">
      <c r="N54" t="s">
        <v>26</v>
      </c>
      <c r="O54">
        <v>43000</v>
      </c>
      <c r="Q54">
        <v>60000</v>
      </c>
      <c r="R54">
        <v>62000</v>
      </c>
      <c r="S54">
        <v>52000</v>
      </c>
      <c r="T54">
        <v>74000</v>
      </c>
    </row>
    <row r="55" spans="14:20" x14ac:dyDescent="0.3">
      <c r="N55" t="s">
        <v>26</v>
      </c>
      <c r="O55">
        <v>60000</v>
      </c>
      <c r="Q55">
        <v>108500</v>
      </c>
      <c r="R55">
        <v>70000</v>
      </c>
      <c r="S55">
        <v>60000</v>
      </c>
      <c r="T55">
        <v>80000</v>
      </c>
    </row>
    <row r="56" spans="14:20" x14ac:dyDescent="0.3">
      <c r="N56" t="s">
        <v>26</v>
      </c>
      <c r="O56">
        <v>38000</v>
      </c>
      <c r="Q56">
        <v>106000</v>
      </c>
      <c r="R56">
        <v>68500</v>
      </c>
      <c r="S56">
        <v>50000</v>
      </c>
      <c r="T56">
        <v>95000</v>
      </c>
    </row>
    <row r="57" spans="14:20" x14ac:dyDescent="0.3">
      <c r="N57" t="s">
        <v>26</v>
      </c>
      <c r="O57">
        <v>55000</v>
      </c>
      <c r="Q57">
        <v>72000</v>
      </c>
      <c r="R57">
        <v>130000</v>
      </c>
      <c r="S57">
        <v>45000</v>
      </c>
      <c r="T57">
        <v>94000</v>
      </c>
    </row>
    <row r="58" spans="14:20" x14ac:dyDescent="0.3">
      <c r="N58" t="s">
        <v>26</v>
      </c>
      <c r="O58">
        <v>22000</v>
      </c>
      <c r="Q58">
        <v>68000</v>
      </c>
      <c r="R58">
        <v>65000</v>
      </c>
      <c r="S58">
        <v>40000</v>
      </c>
      <c r="T58">
        <v>110000</v>
      </c>
    </row>
    <row r="59" spans="14:20" x14ac:dyDescent="0.3">
      <c r="N59" t="s">
        <v>26</v>
      </c>
      <c r="O59">
        <v>24000</v>
      </c>
      <c r="Q59">
        <v>44000</v>
      </c>
      <c r="R59">
        <v>50000</v>
      </c>
      <c r="S59">
        <v>55000</v>
      </c>
      <c r="T59">
        <v>80000</v>
      </c>
    </row>
    <row r="60" spans="14:20" x14ac:dyDescent="0.3">
      <c r="N60" t="s">
        <v>26</v>
      </c>
      <c r="O60">
        <v>25000</v>
      </c>
      <c r="Q60">
        <v>70000</v>
      </c>
      <c r="R60">
        <v>63000</v>
      </c>
      <c r="S60">
        <v>62000</v>
      </c>
      <c r="T60">
        <v>115000</v>
      </c>
    </row>
    <row r="61" spans="14:20" x14ac:dyDescent="0.3">
      <c r="N61" t="s">
        <v>26</v>
      </c>
      <c r="O61">
        <v>11500</v>
      </c>
      <c r="Q61">
        <v>36000</v>
      </c>
      <c r="R61">
        <v>58000</v>
      </c>
      <c r="S61">
        <v>58000</v>
      </c>
      <c r="T61">
        <v>85000</v>
      </c>
    </row>
    <row r="62" spans="14:20" x14ac:dyDescent="0.3">
      <c r="N62" t="s">
        <v>26</v>
      </c>
      <c r="O62">
        <v>25300</v>
      </c>
      <c r="Q62">
        <v>172000</v>
      </c>
      <c r="R62">
        <v>40000</v>
      </c>
      <c r="S62">
        <v>57000</v>
      </c>
      <c r="T62">
        <v>72000</v>
      </c>
    </row>
    <row r="63" spans="14:20" x14ac:dyDescent="0.3">
      <c r="N63" t="s">
        <v>26</v>
      </c>
      <c r="O63">
        <v>54000</v>
      </c>
      <c r="Q63">
        <v>90000</v>
      </c>
      <c r="R63">
        <v>45000</v>
      </c>
      <c r="S63">
        <v>53000</v>
      </c>
      <c r="T63">
        <v>80000</v>
      </c>
    </row>
    <row r="64" spans="14:20" x14ac:dyDescent="0.3">
      <c r="N64" t="s">
        <v>26</v>
      </c>
      <c r="O64">
        <v>47000</v>
      </c>
      <c r="Q64">
        <v>60000</v>
      </c>
      <c r="R64">
        <v>72000</v>
      </c>
      <c r="S64">
        <v>52500</v>
      </c>
      <c r="T64">
        <v>73000</v>
      </c>
    </row>
    <row r="65" spans="14:20" x14ac:dyDescent="0.3">
      <c r="N65" t="s">
        <v>26</v>
      </c>
      <c r="O65">
        <v>48000</v>
      </c>
      <c r="Q65">
        <v>80000</v>
      </c>
      <c r="R65">
        <v>37000</v>
      </c>
      <c r="S65">
        <v>48000</v>
      </c>
      <c r="T65">
        <v>85000</v>
      </c>
    </row>
    <row r="66" spans="14:20" x14ac:dyDescent="0.3">
      <c r="N66" t="s">
        <v>26</v>
      </c>
      <c r="O66">
        <v>47000</v>
      </c>
      <c r="Q66">
        <v>62000</v>
      </c>
      <c r="R66">
        <v>65000</v>
      </c>
      <c r="S66">
        <v>50000</v>
      </c>
      <c r="T66">
        <v>80000</v>
      </c>
    </row>
    <row r="67" spans="14:20" x14ac:dyDescent="0.3">
      <c r="N67" t="s">
        <v>26</v>
      </c>
      <c r="O67">
        <v>48000</v>
      </c>
      <c r="Q67">
        <v>40000</v>
      </c>
      <c r="R67">
        <v>55500</v>
      </c>
      <c r="S67">
        <v>51000</v>
      </c>
      <c r="T67">
        <v>80000</v>
      </c>
    </row>
    <row r="68" spans="14:20" x14ac:dyDescent="0.3">
      <c r="N68" t="s">
        <v>26</v>
      </c>
      <c r="O68">
        <v>30000</v>
      </c>
      <c r="Q68">
        <v>80000</v>
      </c>
      <c r="R68">
        <v>45000</v>
      </c>
      <c r="S68">
        <v>58000</v>
      </c>
      <c r="T68">
        <v>75000</v>
      </c>
    </row>
    <row r="69" spans="14:20" x14ac:dyDescent="0.3">
      <c r="N69" t="s">
        <v>26</v>
      </c>
      <c r="O69">
        <v>50000</v>
      </c>
      <c r="Q69">
        <v>113000</v>
      </c>
      <c r="R69">
        <v>42000</v>
      </c>
      <c r="S69">
        <v>40000</v>
      </c>
      <c r="T69">
        <v>70000</v>
      </c>
    </row>
    <row r="70" spans="14:20" x14ac:dyDescent="0.3">
      <c r="N70" t="s">
        <v>26</v>
      </c>
      <c r="O70">
        <v>55000</v>
      </c>
      <c r="Q70">
        <v>95000</v>
      </c>
      <c r="R70">
        <v>53000</v>
      </c>
      <c r="S70">
        <v>50000</v>
      </c>
      <c r="T70">
        <v>80000</v>
      </c>
    </row>
    <row r="71" spans="14:20" x14ac:dyDescent="0.3">
      <c r="N71" t="s">
        <v>26</v>
      </c>
      <c r="O71">
        <v>54000</v>
      </c>
      <c r="Q71">
        <v>75000</v>
      </c>
      <c r="R71">
        <v>53000</v>
      </c>
      <c r="S71">
        <v>50000</v>
      </c>
      <c r="T71">
        <v>80000</v>
      </c>
    </row>
    <row r="72" spans="14:20" x14ac:dyDescent="0.3">
      <c r="N72" t="s">
        <v>26</v>
      </c>
      <c r="O72">
        <v>42000</v>
      </c>
      <c r="Q72">
        <v>75000</v>
      </c>
      <c r="R72">
        <v>45000</v>
      </c>
      <c r="S72">
        <v>23000</v>
      </c>
      <c r="T72">
        <v>78000</v>
      </c>
    </row>
    <row r="73" spans="14:20" x14ac:dyDescent="0.3">
      <c r="N73" t="s">
        <v>26</v>
      </c>
      <c r="O73">
        <v>30000</v>
      </c>
      <c r="Q73">
        <v>85600</v>
      </c>
      <c r="R73">
        <v>62000</v>
      </c>
      <c r="S73">
        <v>46000</v>
      </c>
      <c r="T73">
        <v>110000</v>
      </c>
    </row>
    <row r="74" spans="14:20" x14ac:dyDescent="0.3">
      <c r="N74" t="s">
        <v>26</v>
      </c>
      <c r="O74">
        <v>48000</v>
      </c>
      <c r="Q74">
        <v>70000</v>
      </c>
      <c r="R74">
        <v>65000</v>
      </c>
      <c r="S74">
        <v>50000</v>
      </c>
      <c r="T74">
        <v>70000</v>
      </c>
    </row>
    <row r="75" spans="14:20" x14ac:dyDescent="0.3">
      <c r="N75" t="s">
        <v>26</v>
      </c>
      <c r="O75">
        <v>70000</v>
      </c>
      <c r="Q75">
        <v>55000</v>
      </c>
      <c r="R75">
        <v>70000</v>
      </c>
      <c r="S75">
        <v>60000</v>
      </c>
      <c r="T75">
        <v>84000</v>
      </c>
    </row>
    <row r="76" spans="14:20" x14ac:dyDescent="0.3">
      <c r="N76" t="s">
        <v>26</v>
      </c>
      <c r="O76">
        <v>65000</v>
      </c>
      <c r="Q76">
        <v>75000</v>
      </c>
      <c r="R76">
        <v>60000</v>
      </c>
      <c r="S76">
        <v>42000</v>
      </c>
      <c r="T76">
        <v>65000</v>
      </c>
    </row>
    <row r="77" spans="14:20" x14ac:dyDescent="0.3">
      <c r="N77" t="s">
        <v>26</v>
      </c>
      <c r="O77">
        <v>51000</v>
      </c>
      <c r="Q77">
        <v>75000</v>
      </c>
      <c r="R77">
        <v>55000</v>
      </c>
      <c r="S77">
        <v>52000</v>
      </c>
      <c r="T77">
        <v>77000</v>
      </c>
    </row>
    <row r="78" spans="14:20" x14ac:dyDescent="0.3">
      <c r="N78" t="s">
        <v>26</v>
      </c>
      <c r="O78">
        <v>45000</v>
      </c>
      <c r="Q78">
        <v>60000</v>
      </c>
      <c r="R78">
        <v>45000</v>
      </c>
      <c r="S78">
        <v>300000</v>
      </c>
      <c r="T78">
        <v>76000</v>
      </c>
    </row>
    <row r="79" spans="14:20" x14ac:dyDescent="0.3">
      <c r="N79" t="s">
        <v>26</v>
      </c>
      <c r="O79">
        <v>46000</v>
      </c>
      <c r="Q79">
        <v>68500</v>
      </c>
      <c r="R79">
        <v>77000</v>
      </c>
      <c r="S79">
        <v>49000</v>
      </c>
      <c r="T79">
        <v>140000</v>
      </c>
    </row>
    <row r="80" spans="14:20" x14ac:dyDescent="0.3">
      <c r="N80" t="s">
        <v>26</v>
      </c>
      <c r="O80">
        <v>36000</v>
      </c>
      <c r="Q80">
        <v>72000</v>
      </c>
      <c r="R80">
        <v>60000</v>
      </c>
      <c r="S80">
        <v>45000</v>
      </c>
      <c r="T80">
        <v>100000</v>
      </c>
    </row>
    <row r="81" spans="14:20" x14ac:dyDescent="0.3">
      <c r="N81" t="s">
        <v>26</v>
      </c>
      <c r="O81">
        <v>50000</v>
      </c>
      <c r="Q81">
        <v>77500</v>
      </c>
      <c r="R81">
        <v>60000</v>
      </c>
      <c r="S81">
        <v>11000</v>
      </c>
      <c r="T81">
        <v>80000</v>
      </c>
    </row>
    <row r="82" spans="14:20" x14ac:dyDescent="0.3">
      <c r="N82" t="s">
        <v>26</v>
      </c>
      <c r="O82">
        <v>42000</v>
      </c>
      <c r="Q82">
        <v>66800</v>
      </c>
      <c r="R82">
        <v>54000</v>
      </c>
      <c r="T82">
        <v>67000</v>
      </c>
    </row>
    <row r="83" spans="14:20" x14ac:dyDescent="0.3">
      <c r="N83" t="s">
        <v>26</v>
      </c>
      <c r="O83">
        <v>68000</v>
      </c>
      <c r="Q83">
        <v>75000</v>
      </c>
      <c r="R83">
        <v>57000</v>
      </c>
      <c r="T83">
        <v>83000</v>
      </c>
    </row>
    <row r="84" spans="14:20" x14ac:dyDescent="0.3">
      <c r="N84" t="s">
        <v>26</v>
      </c>
      <c r="O84">
        <v>48000</v>
      </c>
      <c r="Q84">
        <v>66000</v>
      </c>
      <c r="R84">
        <v>60000</v>
      </c>
      <c r="T84">
        <v>85000</v>
      </c>
    </row>
    <row r="85" spans="14:20" x14ac:dyDescent="0.3">
      <c r="N85" t="s">
        <v>26</v>
      </c>
      <c r="O85">
        <v>48000</v>
      </c>
      <c r="Q85">
        <v>73000</v>
      </c>
      <c r="R85">
        <v>59000</v>
      </c>
      <c r="T85">
        <v>85000</v>
      </c>
    </row>
    <row r="86" spans="14:20" x14ac:dyDescent="0.3">
      <c r="N86" t="s">
        <v>26</v>
      </c>
      <c r="O86">
        <v>43500</v>
      </c>
      <c r="Q86">
        <v>70000</v>
      </c>
      <c r="R86">
        <v>49000</v>
      </c>
      <c r="T86">
        <v>96000</v>
      </c>
    </row>
    <row r="87" spans="14:20" x14ac:dyDescent="0.3">
      <c r="N87" t="s">
        <v>26</v>
      </c>
      <c r="O87">
        <v>60000</v>
      </c>
      <c r="Q87">
        <v>65000</v>
      </c>
      <c r="R87">
        <v>62000</v>
      </c>
      <c r="T87">
        <v>82000</v>
      </c>
    </row>
    <row r="88" spans="14:20" x14ac:dyDescent="0.3">
      <c r="N88" t="s">
        <v>26</v>
      </c>
      <c r="O88">
        <v>45500</v>
      </c>
      <c r="Q88">
        <v>92000</v>
      </c>
      <c r="R88">
        <v>52800</v>
      </c>
      <c r="T88">
        <v>103000</v>
      </c>
    </row>
    <row r="89" spans="14:20" x14ac:dyDescent="0.3">
      <c r="N89" t="s">
        <v>26</v>
      </c>
      <c r="O89">
        <v>60000</v>
      </c>
      <c r="Q89">
        <v>68000</v>
      </c>
      <c r="R89">
        <v>60000</v>
      </c>
      <c r="T89">
        <v>100000</v>
      </c>
    </row>
    <row r="90" spans="14:20" x14ac:dyDescent="0.3">
      <c r="N90" t="s">
        <v>26</v>
      </c>
      <c r="O90">
        <v>37500</v>
      </c>
      <c r="Q90">
        <v>70000</v>
      </c>
      <c r="R90">
        <v>46000</v>
      </c>
      <c r="T90">
        <v>65000</v>
      </c>
    </row>
    <row r="91" spans="14:20" x14ac:dyDescent="0.3">
      <c r="N91" t="s">
        <v>26</v>
      </c>
      <c r="O91">
        <v>55000</v>
      </c>
      <c r="Q91">
        <v>70000</v>
      </c>
      <c r="R91">
        <v>44000</v>
      </c>
      <c r="T91">
        <v>28800</v>
      </c>
    </row>
    <row r="92" spans="14:20" x14ac:dyDescent="0.3">
      <c r="N92" t="s">
        <v>26</v>
      </c>
      <c r="O92">
        <v>45000</v>
      </c>
      <c r="Q92">
        <v>60000</v>
      </c>
      <c r="R92">
        <v>48000</v>
      </c>
      <c r="T92">
        <v>105000</v>
      </c>
    </row>
    <row r="93" spans="14:20" x14ac:dyDescent="0.3">
      <c r="N93" t="s">
        <v>26</v>
      </c>
      <c r="O93">
        <v>48000</v>
      </c>
      <c r="Q93">
        <v>55000</v>
      </c>
      <c r="R93">
        <v>68000</v>
      </c>
      <c r="T93">
        <v>69000</v>
      </c>
    </row>
    <row r="94" spans="14:20" x14ac:dyDescent="0.3">
      <c r="N94" t="s">
        <v>26</v>
      </c>
      <c r="O94">
        <v>52500</v>
      </c>
      <c r="Q94">
        <v>68500</v>
      </c>
      <c r="R94">
        <v>45000</v>
      </c>
      <c r="T94">
        <v>72000</v>
      </c>
    </row>
    <row r="95" spans="14:20" x14ac:dyDescent="0.3">
      <c r="N95" t="s">
        <v>26</v>
      </c>
      <c r="O95">
        <v>48000</v>
      </c>
      <c r="Q95">
        <v>63000</v>
      </c>
      <c r="R95">
        <v>75000</v>
      </c>
      <c r="T95">
        <v>81000</v>
      </c>
    </row>
    <row r="96" spans="14:20" x14ac:dyDescent="0.3">
      <c r="N96" t="s">
        <v>26</v>
      </c>
      <c r="O96">
        <v>49000</v>
      </c>
      <c r="Q96">
        <v>68000</v>
      </c>
      <c r="R96">
        <v>52000</v>
      </c>
      <c r="T96">
        <v>100000</v>
      </c>
    </row>
    <row r="97" spans="14:20" x14ac:dyDescent="0.3">
      <c r="N97" t="s">
        <v>26</v>
      </c>
      <c r="O97">
        <v>30000</v>
      </c>
      <c r="Q97">
        <v>65000</v>
      </c>
      <c r="R97">
        <v>65000</v>
      </c>
      <c r="T97">
        <v>95000</v>
      </c>
    </row>
    <row r="98" spans="14:20" x14ac:dyDescent="0.3">
      <c r="N98" t="s">
        <v>26</v>
      </c>
      <c r="O98">
        <v>30000</v>
      </c>
      <c r="Q98">
        <v>75000</v>
      </c>
      <c r="R98">
        <v>55000</v>
      </c>
      <c r="T98">
        <v>70000</v>
      </c>
    </row>
    <row r="99" spans="14:20" x14ac:dyDescent="0.3">
      <c r="N99" t="s">
        <v>26</v>
      </c>
      <c r="O99">
        <v>65000</v>
      </c>
      <c r="Q99">
        <v>60000</v>
      </c>
      <c r="R99">
        <v>74000</v>
      </c>
      <c r="T99">
        <v>100000</v>
      </c>
    </row>
    <row r="100" spans="14:20" x14ac:dyDescent="0.3">
      <c r="N100" t="s">
        <v>26</v>
      </c>
      <c r="O100">
        <v>57000</v>
      </c>
      <c r="Q100">
        <v>72000</v>
      </c>
      <c r="R100">
        <v>55000</v>
      </c>
      <c r="T100">
        <v>96000</v>
      </c>
    </row>
    <row r="101" spans="14:20" x14ac:dyDescent="0.3">
      <c r="N101" t="s">
        <v>26</v>
      </c>
      <c r="O101">
        <v>55000</v>
      </c>
      <c r="Q101">
        <v>80000</v>
      </c>
      <c r="R101">
        <v>66000</v>
      </c>
      <c r="T101">
        <v>85000</v>
      </c>
    </row>
    <row r="102" spans="14:20" x14ac:dyDescent="0.3">
      <c r="N102" t="s">
        <v>26</v>
      </c>
      <c r="O102">
        <v>77000</v>
      </c>
      <c r="Q102">
        <v>60000</v>
      </c>
      <c r="R102">
        <v>74000</v>
      </c>
      <c r="T102">
        <v>90000</v>
      </c>
    </row>
    <row r="103" spans="14:20" x14ac:dyDescent="0.3">
      <c r="N103" t="s">
        <v>26</v>
      </c>
      <c r="O103">
        <v>45000</v>
      </c>
      <c r="Q103">
        <v>65000</v>
      </c>
      <c r="R103">
        <v>54000</v>
      </c>
      <c r="T103">
        <v>85000</v>
      </c>
    </row>
    <row r="104" spans="14:20" x14ac:dyDescent="0.3">
      <c r="N104" t="s">
        <v>26</v>
      </c>
      <c r="O104">
        <v>52000</v>
      </c>
      <c r="Q104">
        <v>57600</v>
      </c>
      <c r="R104">
        <v>65000</v>
      </c>
      <c r="T104">
        <v>95000</v>
      </c>
    </row>
    <row r="105" spans="14:20" x14ac:dyDescent="0.3">
      <c r="N105" t="s">
        <v>26</v>
      </c>
      <c r="O105">
        <v>60000</v>
      </c>
      <c r="Q105">
        <v>65000</v>
      </c>
      <c r="R105">
        <v>60000</v>
      </c>
      <c r="T105">
        <v>90000</v>
      </c>
    </row>
    <row r="106" spans="14:20" x14ac:dyDescent="0.3">
      <c r="N106" t="s">
        <v>26</v>
      </c>
      <c r="O106">
        <v>50000</v>
      </c>
      <c r="Q106">
        <v>66000</v>
      </c>
      <c r="R106">
        <v>63000</v>
      </c>
      <c r="T106">
        <v>75000</v>
      </c>
    </row>
    <row r="107" spans="14:20" x14ac:dyDescent="0.3">
      <c r="N107" t="s">
        <v>26</v>
      </c>
      <c r="O107">
        <v>45000</v>
      </c>
      <c r="Q107">
        <v>67000</v>
      </c>
      <c r="R107">
        <v>66500</v>
      </c>
      <c r="T107">
        <v>100000</v>
      </c>
    </row>
    <row r="108" spans="14:20" x14ac:dyDescent="0.3">
      <c r="N108" t="s">
        <v>26</v>
      </c>
      <c r="O108">
        <v>40000</v>
      </c>
      <c r="Q108">
        <v>70000</v>
      </c>
      <c r="R108">
        <v>71000</v>
      </c>
      <c r="T108">
        <v>83000</v>
      </c>
    </row>
    <row r="109" spans="14:20" x14ac:dyDescent="0.3">
      <c r="N109" t="s">
        <v>26</v>
      </c>
      <c r="O109">
        <v>55000</v>
      </c>
      <c r="Q109">
        <v>55000</v>
      </c>
      <c r="R109">
        <v>70000</v>
      </c>
      <c r="T109">
        <v>105000</v>
      </c>
    </row>
    <row r="110" spans="14:20" x14ac:dyDescent="0.3">
      <c r="N110" t="s">
        <v>26</v>
      </c>
      <c r="O110">
        <v>62000</v>
      </c>
      <c r="Q110">
        <v>85000</v>
      </c>
      <c r="R110">
        <v>44000</v>
      </c>
      <c r="T110">
        <v>78000</v>
      </c>
    </row>
    <row r="111" spans="14:20" x14ac:dyDescent="0.3">
      <c r="N111" t="s">
        <v>26</v>
      </c>
      <c r="O111">
        <v>58000</v>
      </c>
      <c r="Q111">
        <v>76900</v>
      </c>
      <c r="R111">
        <v>55000</v>
      </c>
      <c r="T111">
        <v>89570</v>
      </c>
    </row>
    <row r="112" spans="14:20" x14ac:dyDescent="0.3">
      <c r="N112" t="s">
        <v>26</v>
      </c>
      <c r="O112">
        <v>57000</v>
      </c>
      <c r="Q112">
        <v>83000</v>
      </c>
      <c r="R112">
        <v>71000</v>
      </c>
      <c r="T112">
        <v>95000</v>
      </c>
    </row>
    <row r="113" spans="14:20" x14ac:dyDescent="0.3">
      <c r="N113" t="s">
        <v>26</v>
      </c>
      <c r="O113">
        <v>53000</v>
      </c>
      <c r="Q113">
        <v>73000</v>
      </c>
      <c r="R113">
        <v>38350</v>
      </c>
      <c r="T113">
        <v>95000</v>
      </c>
    </row>
    <row r="114" spans="14:20" x14ac:dyDescent="0.3">
      <c r="N114" t="s">
        <v>26</v>
      </c>
      <c r="O114">
        <v>52500</v>
      </c>
      <c r="Q114">
        <v>70000</v>
      </c>
      <c r="R114">
        <v>63000</v>
      </c>
      <c r="T114">
        <v>83000</v>
      </c>
    </row>
    <row r="115" spans="14:20" x14ac:dyDescent="0.3">
      <c r="N115" t="s">
        <v>26</v>
      </c>
      <c r="O115">
        <v>48000</v>
      </c>
      <c r="Q115">
        <v>80000</v>
      </c>
      <c r="R115">
        <v>90000</v>
      </c>
      <c r="T115">
        <v>82000</v>
      </c>
    </row>
    <row r="116" spans="14:20" x14ac:dyDescent="0.3">
      <c r="N116" t="s">
        <v>26</v>
      </c>
      <c r="O116">
        <v>50000</v>
      </c>
      <c r="Q116">
        <v>85000</v>
      </c>
      <c r="R116">
        <v>65000</v>
      </c>
      <c r="T116">
        <v>72000</v>
      </c>
    </row>
    <row r="117" spans="14:20" x14ac:dyDescent="0.3">
      <c r="N117" t="s">
        <v>26</v>
      </c>
      <c r="O117">
        <v>51000</v>
      </c>
      <c r="Q117">
        <v>57000</v>
      </c>
      <c r="R117">
        <v>60000</v>
      </c>
      <c r="T117">
        <v>20000</v>
      </c>
    </row>
    <row r="118" spans="14:20" x14ac:dyDescent="0.3">
      <c r="N118" t="s">
        <v>26</v>
      </c>
      <c r="O118">
        <v>58000</v>
      </c>
      <c r="Q118">
        <v>70000</v>
      </c>
      <c r="R118">
        <v>69000</v>
      </c>
      <c r="T118">
        <v>80000</v>
      </c>
    </row>
    <row r="119" spans="14:20" x14ac:dyDescent="0.3">
      <c r="N119" t="s">
        <v>26</v>
      </c>
      <c r="O119">
        <v>40000</v>
      </c>
      <c r="Q119">
        <v>68000</v>
      </c>
      <c r="R119">
        <v>60000</v>
      </c>
      <c r="T119">
        <v>95500</v>
      </c>
    </row>
    <row r="120" spans="14:20" x14ac:dyDescent="0.3">
      <c r="N120" t="s">
        <v>26</v>
      </c>
      <c r="O120">
        <v>50000</v>
      </c>
      <c r="Q120">
        <v>68500</v>
      </c>
      <c r="R120">
        <v>60000</v>
      </c>
      <c r="T120">
        <v>130000</v>
      </c>
    </row>
    <row r="121" spans="14:20" x14ac:dyDescent="0.3">
      <c r="N121" t="s">
        <v>26</v>
      </c>
      <c r="O121">
        <v>50000</v>
      </c>
      <c r="Q121">
        <v>72000</v>
      </c>
      <c r="R121">
        <v>32000</v>
      </c>
      <c r="T121">
        <v>93000</v>
      </c>
    </row>
    <row r="122" spans="14:20" x14ac:dyDescent="0.3">
      <c r="N122" t="s">
        <v>26</v>
      </c>
      <c r="O122">
        <v>23000</v>
      </c>
      <c r="Q122">
        <v>75000</v>
      </c>
      <c r="R122">
        <v>44000</v>
      </c>
      <c r="T122">
        <v>120000</v>
      </c>
    </row>
    <row r="123" spans="14:20" x14ac:dyDescent="0.3">
      <c r="N123" t="s">
        <v>26</v>
      </c>
      <c r="O123">
        <v>46000</v>
      </c>
      <c r="Q123">
        <v>70000</v>
      </c>
      <c r="R123">
        <v>48000</v>
      </c>
      <c r="T123">
        <v>78000</v>
      </c>
    </row>
    <row r="124" spans="14:20" x14ac:dyDescent="0.3">
      <c r="N124" t="s">
        <v>26</v>
      </c>
      <c r="O124">
        <v>50000</v>
      </c>
      <c r="Q124">
        <v>73500</v>
      </c>
      <c r="R124">
        <v>51000</v>
      </c>
      <c r="T124">
        <v>85000</v>
      </c>
    </row>
    <row r="125" spans="14:20" x14ac:dyDescent="0.3">
      <c r="N125" t="s">
        <v>26</v>
      </c>
      <c r="O125">
        <v>60000</v>
      </c>
      <c r="Q125">
        <v>83000</v>
      </c>
      <c r="R125">
        <v>54000</v>
      </c>
      <c r="T125">
        <v>95000</v>
      </c>
    </row>
    <row r="126" spans="14:20" x14ac:dyDescent="0.3">
      <c r="N126" t="s">
        <v>26</v>
      </c>
      <c r="O126">
        <v>42000</v>
      </c>
      <c r="Q126">
        <v>72000</v>
      </c>
      <c r="R126">
        <v>72000</v>
      </c>
      <c r="T126">
        <v>95000</v>
      </c>
    </row>
    <row r="127" spans="14:20" x14ac:dyDescent="0.3">
      <c r="N127" t="s">
        <v>26</v>
      </c>
      <c r="O127">
        <v>52000</v>
      </c>
      <c r="Q127">
        <v>50400</v>
      </c>
      <c r="R127">
        <v>48000</v>
      </c>
      <c r="T127">
        <v>95000</v>
      </c>
    </row>
    <row r="128" spans="14:20" x14ac:dyDescent="0.3">
      <c r="N128" t="s">
        <v>26</v>
      </c>
      <c r="O128">
        <v>300000</v>
      </c>
      <c r="Q128">
        <v>70000</v>
      </c>
      <c r="R128">
        <v>60000</v>
      </c>
      <c r="T128">
        <v>95000</v>
      </c>
    </row>
    <row r="129" spans="14:20" x14ac:dyDescent="0.3">
      <c r="N129" t="s">
        <v>26</v>
      </c>
      <c r="O129">
        <v>49000</v>
      </c>
      <c r="Q129">
        <v>80000</v>
      </c>
      <c r="R129">
        <v>54000</v>
      </c>
      <c r="T129">
        <v>95000</v>
      </c>
    </row>
    <row r="130" spans="14:20" x14ac:dyDescent="0.3">
      <c r="N130" t="s">
        <v>26</v>
      </c>
      <c r="O130">
        <v>45000</v>
      </c>
      <c r="Q130">
        <v>80000</v>
      </c>
      <c r="R130">
        <v>56000</v>
      </c>
      <c r="T130">
        <v>85000</v>
      </c>
    </row>
    <row r="131" spans="14:20" x14ac:dyDescent="0.3">
      <c r="N131" t="s">
        <v>26</v>
      </c>
      <c r="O131">
        <v>11000</v>
      </c>
      <c r="Q131">
        <v>70000</v>
      </c>
      <c r="R131">
        <v>47400</v>
      </c>
      <c r="T131">
        <v>99000</v>
      </c>
    </row>
    <row r="132" spans="14:20" x14ac:dyDescent="0.3">
      <c r="N132" t="s">
        <v>235</v>
      </c>
      <c r="O132">
        <v>57000</v>
      </c>
      <c r="Q132">
        <v>83000</v>
      </c>
      <c r="R132">
        <v>45000</v>
      </c>
      <c r="T132">
        <v>57600</v>
      </c>
    </row>
    <row r="133" spans="14:20" x14ac:dyDescent="0.3">
      <c r="N133" t="s">
        <v>24</v>
      </c>
      <c r="O133">
        <v>120000</v>
      </c>
      <c r="Q133">
        <v>74000</v>
      </c>
      <c r="R133">
        <v>45000</v>
      </c>
      <c r="T133">
        <v>120000</v>
      </c>
    </row>
    <row r="134" spans="14:20" x14ac:dyDescent="0.3">
      <c r="N134" t="s">
        <v>24</v>
      </c>
      <c r="O134">
        <v>25000</v>
      </c>
      <c r="Q134">
        <v>83000</v>
      </c>
      <c r="R134">
        <v>80000</v>
      </c>
      <c r="T134">
        <v>90000</v>
      </c>
    </row>
    <row r="135" spans="14:20" x14ac:dyDescent="0.3">
      <c r="N135" t="s">
        <v>24</v>
      </c>
      <c r="O135">
        <v>140000</v>
      </c>
      <c r="Q135">
        <v>60000</v>
      </c>
      <c r="R135">
        <v>65000</v>
      </c>
      <c r="T135">
        <v>90000</v>
      </c>
    </row>
    <row r="136" spans="14:20" x14ac:dyDescent="0.3">
      <c r="N136" t="s">
        <v>24</v>
      </c>
      <c r="O136">
        <v>84000</v>
      </c>
      <c r="Q136">
        <v>77000</v>
      </c>
      <c r="R136">
        <v>58000</v>
      </c>
      <c r="T136">
        <v>75000</v>
      </c>
    </row>
    <row r="137" spans="14:20" x14ac:dyDescent="0.3">
      <c r="N137" t="s">
        <v>24</v>
      </c>
      <c r="O137">
        <v>70000</v>
      </c>
      <c r="Q137">
        <v>79000</v>
      </c>
      <c r="R137">
        <v>61500</v>
      </c>
      <c r="T137">
        <v>70200</v>
      </c>
    </row>
    <row r="138" spans="14:20" x14ac:dyDescent="0.3">
      <c r="N138" t="s">
        <v>24</v>
      </c>
      <c r="O138">
        <v>75000</v>
      </c>
      <c r="Q138">
        <v>75000</v>
      </c>
      <c r="R138">
        <v>65000</v>
      </c>
      <c r="T138">
        <v>80000</v>
      </c>
    </row>
    <row r="139" spans="14:20" x14ac:dyDescent="0.3">
      <c r="N139" t="s">
        <v>24</v>
      </c>
      <c r="O139">
        <v>75000</v>
      </c>
      <c r="Q139">
        <v>85000</v>
      </c>
      <c r="R139">
        <v>62000</v>
      </c>
      <c r="T139">
        <v>120000</v>
      </c>
    </row>
    <row r="140" spans="14:20" x14ac:dyDescent="0.3">
      <c r="N140" t="s">
        <v>24</v>
      </c>
      <c r="O140">
        <v>100000</v>
      </c>
      <c r="Q140">
        <v>77000</v>
      </c>
      <c r="R140">
        <v>66000</v>
      </c>
      <c r="T140">
        <v>135000</v>
      </c>
    </row>
    <row r="141" spans="14:20" x14ac:dyDescent="0.3">
      <c r="N141" t="s">
        <v>24</v>
      </c>
      <c r="O141">
        <v>150000</v>
      </c>
      <c r="Q141">
        <v>76000</v>
      </c>
      <c r="R141">
        <v>75000</v>
      </c>
      <c r="T141">
        <v>90000</v>
      </c>
    </row>
    <row r="142" spans="14:20" x14ac:dyDescent="0.3">
      <c r="N142" t="s">
        <v>24</v>
      </c>
      <c r="O142">
        <v>70000</v>
      </c>
      <c r="Q142">
        <v>80000</v>
      </c>
      <c r="R142">
        <v>58000</v>
      </c>
      <c r="T142">
        <v>90000</v>
      </c>
    </row>
    <row r="143" spans="14:20" x14ac:dyDescent="0.3">
      <c r="N143" t="s">
        <v>24</v>
      </c>
      <c r="O143">
        <v>75000</v>
      </c>
      <c r="Q143">
        <v>90000</v>
      </c>
      <c r="R143">
        <v>68000</v>
      </c>
      <c r="T143">
        <v>80000</v>
      </c>
    </row>
    <row r="144" spans="14:20" x14ac:dyDescent="0.3">
      <c r="N144" t="s">
        <v>24</v>
      </c>
      <c r="O144">
        <v>80000</v>
      </c>
      <c r="Q144">
        <v>70000</v>
      </c>
      <c r="R144">
        <v>73700</v>
      </c>
      <c r="T144">
        <v>72000</v>
      </c>
    </row>
    <row r="145" spans="14:20" x14ac:dyDescent="0.3">
      <c r="N145" t="s">
        <v>24</v>
      </c>
      <c r="O145">
        <v>65000</v>
      </c>
      <c r="Q145">
        <v>79000</v>
      </c>
      <c r="R145">
        <v>77500</v>
      </c>
      <c r="T145">
        <v>65000</v>
      </c>
    </row>
    <row r="146" spans="14:20" x14ac:dyDescent="0.3">
      <c r="N146" t="s">
        <v>24</v>
      </c>
      <c r="O146">
        <v>70000</v>
      </c>
      <c r="Q146">
        <v>77000</v>
      </c>
      <c r="R146">
        <v>82000</v>
      </c>
      <c r="T146">
        <v>62000</v>
      </c>
    </row>
    <row r="147" spans="14:20" x14ac:dyDescent="0.3">
      <c r="N147" t="s">
        <v>24</v>
      </c>
      <c r="O147">
        <v>90000</v>
      </c>
      <c r="Q147">
        <v>72000</v>
      </c>
      <c r="R147">
        <v>80000</v>
      </c>
      <c r="T147">
        <v>100000</v>
      </c>
    </row>
    <row r="148" spans="14:20" x14ac:dyDescent="0.3">
      <c r="N148" t="s">
        <v>24</v>
      </c>
      <c r="O148">
        <v>115000</v>
      </c>
      <c r="Q148">
        <v>75000</v>
      </c>
      <c r="R148">
        <v>85000</v>
      </c>
      <c r="T148">
        <v>92000</v>
      </c>
    </row>
    <row r="149" spans="14:20" x14ac:dyDescent="0.3">
      <c r="N149" t="s">
        <v>24</v>
      </c>
      <c r="O149">
        <v>80000</v>
      </c>
      <c r="Q149">
        <v>75000</v>
      </c>
      <c r="R149">
        <v>67000</v>
      </c>
      <c r="T149">
        <v>100000</v>
      </c>
    </row>
    <row r="150" spans="14:20" x14ac:dyDescent="0.3">
      <c r="N150" t="s">
        <v>24</v>
      </c>
      <c r="O150">
        <v>115000</v>
      </c>
      <c r="Q150">
        <v>65000</v>
      </c>
      <c r="R150">
        <v>70000</v>
      </c>
      <c r="T150">
        <v>70000</v>
      </c>
    </row>
    <row r="151" spans="14:20" x14ac:dyDescent="0.3">
      <c r="N151" t="s">
        <v>24</v>
      </c>
      <c r="O151">
        <v>70000</v>
      </c>
      <c r="Q151">
        <v>72500</v>
      </c>
      <c r="R151">
        <v>70000</v>
      </c>
      <c r="T151">
        <v>90000</v>
      </c>
    </row>
    <row r="152" spans="14:20" x14ac:dyDescent="0.3">
      <c r="N152" t="s">
        <v>24</v>
      </c>
      <c r="O152">
        <v>120000</v>
      </c>
      <c r="Q152">
        <v>70000</v>
      </c>
      <c r="R152">
        <v>58000</v>
      </c>
      <c r="T152">
        <v>120000</v>
      </c>
    </row>
    <row r="153" spans="14:20" x14ac:dyDescent="0.3">
      <c r="N153" t="s">
        <v>24</v>
      </c>
      <c r="O153">
        <v>99000</v>
      </c>
      <c r="Q153">
        <v>80000</v>
      </c>
      <c r="R153">
        <v>55000</v>
      </c>
      <c r="T153">
        <v>85000</v>
      </c>
    </row>
    <row r="154" spans="14:20" x14ac:dyDescent="0.3">
      <c r="N154" t="s">
        <v>24</v>
      </c>
      <c r="O154">
        <v>66000</v>
      </c>
      <c r="Q154">
        <v>65000</v>
      </c>
      <c r="R154">
        <v>64000</v>
      </c>
      <c r="T154">
        <v>62500</v>
      </c>
    </row>
    <row r="155" spans="14:20" x14ac:dyDescent="0.3">
      <c r="N155" t="s">
        <v>24</v>
      </c>
      <c r="O155">
        <v>90000</v>
      </c>
      <c r="Q155">
        <v>72000</v>
      </c>
      <c r="R155">
        <v>55000</v>
      </c>
      <c r="T155">
        <v>65000</v>
      </c>
    </row>
    <row r="156" spans="14:20" x14ac:dyDescent="0.3">
      <c r="N156" t="s">
        <v>24</v>
      </c>
      <c r="O156">
        <v>90000</v>
      </c>
      <c r="Q156">
        <v>65000</v>
      </c>
      <c r="R156">
        <v>66000</v>
      </c>
      <c r="T156">
        <v>110000</v>
      </c>
    </row>
    <row r="157" spans="14:20" x14ac:dyDescent="0.3">
      <c r="N157" t="s">
        <v>24</v>
      </c>
      <c r="O157">
        <v>110000</v>
      </c>
      <c r="Q157">
        <v>75000</v>
      </c>
      <c r="R157">
        <v>65000</v>
      </c>
      <c r="T157">
        <v>78000</v>
      </c>
    </row>
    <row r="158" spans="14:20" x14ac:dyDescent="0.3">
      <c r="N158" t="s">
        <v>24</v>
      </c>
      <c r="O158">
        <v>95000</v>
      </c>
      <c r="Q158">
        <v>75000</v>
      </c>
      <c r="R158">
        <v>72000</v>
      </c>
      <c r="T158">
        <v>85000</v>
      </c>
    </row>
    <row r="159" spans="14:20" x14ac:dyDescent="0.3">
      <c r="N159" t="s">
        <v>24</v>
      </c>
      <c r="O159">
        <v>65000</v>
      </c>
      <c r="Q159">
        <v>65000</v>
      </c>
      <c r="R159">
        <v>60000</v>
      </c>
      <c r="T159">
        <v>250000</v>
      </c>
    </row>
    <row r="160" spans="14:20" x14ac:dyDescent="0.3">
      <c r="N160" t="s">
        <v>24</v>
      </c>
      <c r="O160">
        <v>85000</v>
      </c>
      <c r="Q160">
        <v>78000</v>
      </c>
      <c r="R160">
        <v>69200</v>
      </c>
      <c r="T160">
        <v>95000</v>
      </c>
    </row>
    <row r="161" spans="14:20" x14ac:dyDescent="0.3">
      <c r="N161" t="s">
        <v>24</v>
      </c>
      <c r="O161">
        <v>80000</v>
      </c>
      <c r="Q161">
        <v>70000</v>
      </c>
      <c r="R161">
        <v>40800</v>
      </c>
      <c r="T161">
        <v>90000</v>
      </c>
    </row>
    <row r="162" spans="14:20" x14ac:dyDescent="0.3">
      <c r="N162" t="s">
        <v>24</v>
      </c>
      <c r="O162">
        <v>90000</v>
      </c>
      <c r="Q162">
        <v>75000</v>
      </c>
      <c r="R162">
        <v>50000</v>
      </c>
      <c r="T162">
        <v>80000</v>
      </c>
    </row>
    <row r="163" spans="14:20" x14ac:dyDescent="0.3">
      <c r="N163" t="s">
        <v>24</v>
      </c>
      <c r="O163">
        <v>85000</v>
      </c>
      <c r="Q163">
        <v>80000</v>
      </c>
      <c r="R163">
        <v>64000</v>
      </c>
      <c r="T163">
        <v>80000</v>
      </c>
    </row>
    <row r="164" spans="14:20" x14ac:dyDescent="0.3">
      <c r="N164" t="s">
        <v>24</v>
      </c>
      <c r="O164">
        <v>75000</v>
      </c>
      <c r="Q164">
        <v>85000</v>
      </c>
      <c r="R164">
        <v>54500</v>
      </c>
      <c r="T164">
        <v>90000</v>
      </c>
    </row>
    <row r="165" spans="14:20" x14ac:dyDescent="0.3">
      <c r="N165" t="s">
        <v>24</v>
      </c>
      <c r="O165">
        <v>82000</v>
      </c>
      <c r="Q165">
        <v>77250</v>
      </c>
      <c r="R165">
        <v>60000</v>
      </c>
      <c r="T165">
        <v>78000</v>
      </c>
    </row>
    <row r="166" spans="14:20" x14ac:dyDescent="0.3">
      <c r="N166" t="s">
        <v>24</v>
      </c>
      <c r="O166">
        <v>91000</v>
      </c>
      <c r="Q166">
        <v>75000</v>
      </c>
      <c r="R166">
        <v>45000</v>
      </c>
      <c r="T166">
        <v>78000</v>
      </c>
    </row>
    <row r="167" spans="14:20" x14ac:dyDescent="0.3">
      <c r="N167" t="s">
        <v>24</v>
      </c>
      <c r="O167">
        <v>78000</v>
      </c>
      <c r="Q167">
        <v>54000</v>
      </c>
      <c r="R167">
        <v>60000</v>
      </c>
      <c r="T167">
        <v>100000</v>
      </c>
    </row>
    <row r="168" spans="14:20" x14ac:dyDescent="0.3">
      <c r="N168" t="s">
        <v>24</v>
      </c>
      <c r="O168">
        <v>240000</v>
      </c>
      <c r="Q168">
        <v>65000</v>
      </c>
      <c r="R168">
        <v>50000</v>
      </c>
      <c r="T168">
        <v>108000</v>
      </c>
    </row>
    <row r="169" spans="14:20" x14ac:dyDescent="0.3">
      <c r="N169" t="s">
        <v>24</v>
      </c>
      <c r="O169">
        <v>85000</v>
      </c>
      <c r="Q169">
        <v>90000</v>
      </c>
      <c r="R169">
        <v>56000</v>
      </c>
    </row>
    <row r="170" spans="14:20" x14ac:dyDescent="0.3">
      <c r="N170" t="s">
        <v>24</v>
      </c>
      <c r="O170">
        <v>80000</v>
      </c>
      <c r="Q170">
        <v>85000</v>
      </c>
      <c r="R170">
        <v>54000</v>
      </c>
    </row>
    <row r="171" spans="14:20" x14ac:dyDescent="0.3">
      <c r="N171" t="s">
        <v>24</v>
      </c>
      <c r="O171">
        <v>65000</v>
      </c>
      <c r="Q171">
        <v>68250</v>
      </c>
      <c r="R171">
        <v>68000</v>
      </c>
    </row>
    <row r="172" spans="14:20" x14ac:dyDescent="0.3">
      <c r="N172" t="s">
        <v>24</v>
      </c>
      <c r="O172">
        <v>76000</v>
      </c>
      <c r="Q172">
        <v>72000</v>
      </c>
      <c r="R172">
        <v>70000</v>
      </c>
    </row>
    <row r="173" spans="14:20" x14ac:dyDescent="0.3">
      <c r="N173" t="s">
        <v>24</v>
      </c>
      <c r="O173">
        <v>75000</v>
      </c>
      <c r="Q173">
        <v>85000</v>
      </c>
      <c r="R173">
        <v>63000</v>
      </c>
    </row>
    <row r="174" spans="14:20" x14ac:dyDescent="0.3">
      <c r="N174" t="s">
        <v>24</v>
      </c>
      <c r="O174">
        <v>52000</v>
      </c>
      <c r="Q174">
        <v>60000</v>
      </c>
      <c r="R174">
        <v>65000</v>
      </c>
    </row>
    <row r="175" spans="14:20" x14ac:dyDescent="0.3">
      <c r="N175" t="s">
        <v>24</v>
      </c>
      <c r="O175">
        <v>90000</v>
      </c>
      <c r="Q175">
        <v>65000</v>
      </c>
      <c r="R175">
        <v>63000</v>
      </c>
    </row>
    <row r="176" spans="14:20" x14ac:dyDescent="0.3">
      <c r="N176" t="s">
        <v>24</v>
      </c>
      <c r="O176">
        <v>70800</v>
      </c>
      <c r="Q176">
        <v>80000</v>
      </c>
      <c r="R176">
        <v>51000</v>
      </c>
    </row>
    <row r="177" spans="14:18" x14ac:dyDescent="0.3">
      <c r="N177" t="s">
        <v>24</v>
      </c>
      <c r="O177">
        <v>105000</v>
      </c>
      <c r="Q177">
        <v>78000</v>
      </c>
      <c r="R177">
        <v>60000</v>
      </c>
    </row>
    <row r="178" spans="14:18" x14ac:dyDescent="0.3">
      <c r="N178" t="s">
        <v>24</v>
      </c>
      <c r="O178">
        <v>122000</v>
      </c>
      <c r="Q178">
        <v>60000</v>
      </c>
      <c r="R178">
        <v>72000</v>
      </c>
    </row>
    <row r="179" spans="14:18" x14ac:dyDescent="0.3">
      <c r="N179" t="s">
        <v>24</v>
      </c>
      <c r="O179">
        <v>115000</v>
      </c>
      <c r="Q179">
        <v>80000</v>
      </c>
      <c r="R179">
        <v>45000</v>
      </c>
    </row>
    <row r="180" spans="14:18" x14ac:dyDescent="0.3">
      <c r="N180" t="s">
        <v>24</v>
      </c>
      <c r="O180">
        <v>90000</v>
      </c>
      <c r="Q180">
        <v>67000</v>
      </c>
      <c r="R180">
        <v>49000</v>
      </c>
    </row>
    <row r="181" spans="14:18" x14ac:dyDescent="0.3">
      <c r="N181" t="s">
        <v>24</v>
      </c>
      <c r="O181">
        <v>85000</v>
      </c>
      <c r="Q181">
        <v>52000</v>
      </c>
      <c r="R181">
        <v>42000</v>
      </c>
    </row>
    <row r="182" spans="14:18" x14ac:dyDescent="0.3">
      <c r="N182" t="s">
        <v>24</v>
      </c>
      <c r="O182">
        <v>85000</v>
      </c>
      <c r="Q182">
        <v>65000</v>
      </c>
      <c r="R182">
        <v>46000</v>
      </c>
    </row>
    <row r="183" spans="14:18" x14ac:dyDescent="0.3">
      <c r="N183" t="s">
        <v>24</v>
      </c>
      <c r="O183">
        <v>85000</v>
      </c>
      <c r="Q183">
        <v>65000</v>
      </c>
      <c r="R183">
        <v>13000</v>
      </c>
    </row>
    <row r="184" spans="14:18" x14ac:dyDescent="0.3">
      <c r="N184" t="s">
        <v>24</v>
      </c>
      <c r="O184">
        <v>74000</v>
      </c>
      <c r="Q184">
        <v>85000</v>
      </c>
      <c r="R184">
        <v>59000</v>
      </c>
    </row>
    <row r="185" spans="14:18" x14ac:dyDescent="0.3">
      <c r="N185" t="s">
        <v>24</v>
      </c>
      <c r="O185">
        <v>80000</v>
      </c>
      <c r="Q185">
        <v>58000</v>
      </c>
      <c r="R185">
        <v>62000</v>
      </c>
    </row>
    <row r="186" spans="14:18" x14ac:dyDescent="0.3">
      <c r="N186" t="s">
        <v>24</v>
      </c>
      <c r="O186">
        <v>95000</v>
      </c>
      <c r="Q186">
        <v>55000</v>
      </c>
      <c r="R186">
        <v>43000</v>
      </c>
    </row>
    <row r="187" spans="14:18" x14ac:dyDescent="0.3">
      <c r="N187" t="s">
        <v>24</v>
      </c>
      <c r="O187">
        <v>94000</v>
      </c>
      <c r="Q187">
        <v>70000</v>
      </c>
      <c r="R187">
        <v>54000</v>
      </c>
    </row>
    <row r="188" spans="14:18" x14ac:dyDescent="0.3">
      <c r="N188" t="s">
        <v>24</v>
      </c>
      <c r="O188">
        <v>110000</v>
      </c>
      <c r="Q188">
        <v>60000</v>
      </c>
      <c r="R188">
        <v>42000</v>
      </c>
    </row>
    <row r="189" spans="14:18" x14ac:dyDescent="0.3">
      <c r="N189" t="s">
        <v>24</v>
      </c>
      <c r="O189">
        <v>80000</v>
      </c>
      <c r="Q189">
        <v>75000</v>
      </c>
      <c r="R189">
        <v>65000</v>
      </c>
    </row>
    <row r="190" spans="14:18" x14ac:dyDescent="0.3">
      <c r="N190" t="s">
        <v>24</v>
      </c>
      <c r="O190">
        <v>115000</v>
      </c>
      <c r="Q190">
        <v>78000</v>
      </c>
      <c r="R190">
        <v>48000</v>
      </c>
    </row>
    <row r="191" spans="14:18" x14ac:dyDescent="0.3">
      <c r="N191" t="s">
        <v>24</v>
      </c>
      <c r="O191">
        <v>85000</v>
      </c>
      <c r="Q191">
        <v>150000</v>
      </c>
      <c r="R191">
        <v>40000</v>
      </c>
    </row>
    <row r="192" spans="14:18" x14ac:dyDescent="0.3">
      <c r="N192" t="s">
        <v>24</v>
      </c>
      <c r="O192">
        <v>72000</v>
      </c>
      <c r="Q192">
        <v>66000</v>
      </c>
      <c r="R192">
        <v>34000</v>
      </c>
    </row>
    <row r="193" spans="14:18" x14ac:dyDescent="0.3">
      <c r="N193" t="s">
        <v>24</v>
      </c>
      <c r="O193">
        <v>80000</v>
      </c>
      <c r="Q193">
        <v>55000</v>
      </c>
      <c r="R193">
        <v>57000</v>
      </c>
    </row>
    <row r="194" spans="14:18" x14ac:dyDescent="0.3">
      <c r="N194" t="s">
        <v>24</v>
      </c>
      <c r="O194">
        <v>73000</v>
      </c>
      <c r="Q194">
        <v>52000</v>
      </c>
      <c r="R194">
        <v>50400</v>
      </c>
    </row>
    <row r="195" spans="14:18" x14ac:dyDescent="0.3">
      <c r="N195" t="s">
        <v>24</v>
      </c>
      <c r="O195">
        <v>85000</v>
      </c>
      <c r="Q195">
        <v>69000</v>
      </c>
      <c r="R195">
        <v>53500</v>
      </c>
    </row>
    <row r="196" spans="14:18" x14ac:dyDescent="0.3">
      <c r="N196" t="s">
        <v>24</v>
      </c>
      <c r="O196">
        <v>80000</v>
      </c>
      <c r="Q196">
        <v>64000</v>
      </c>
      <c r="R196">
        <v>63700</v>
      </c>
    </row>
    <row r="197" spans="14:18" x14ac:dyDescent="0.3">
      <c r="N197" t="s">
        <v>24</v>
      </c>
      <c r="O197">
        <v>80000</v>
      </c>
      <c r="Q197">
        <v>65000</v>
      </c>
      <c r="R197">
        <v>75000</v>
      </c>
    </row>
    <row r="198" spans="14:18" x14ac:dyDescent="0.3">
      <c r="N198" t="s">
        <v>24</v>
      </c>
      <c r="O198">
        <v>75000</v>
      </c>
      <c r="Q198">
        <v>60000</v>
      </c>
      <c r="R198">
        <v>67000</v>
      </c>
    </row>
    <row r="199" spans="14:18" x14ac:dyDescent="0.3">
      <c r="N199" t="s">
        <v>24</v>
      </c>
      <c r="O199">
        <v>70000</v>
      </c>
      <c r="Q199">
        <v>95000</v>
      </c>
      <c r="R199">
        <v>70000</v>
      </c>
    </row>
    <row r="200" spans="14:18" x14ac:dyDescent="0.3">
      <c r="N200" t="s">
        <v>24</v>
      </c>
      <c r="O200">
        <v>80000</v>
      </c>
      <c r="Q200">
        <v>90000</v>
      </c>
      <c r="R200">
        <v>55200</v>
      </c>
    </row>
    <row r="201" spans="14:18" x14ac:dyDescent="0.3">
      <c r="N201" t="s">
        <v>24</v>
      </c>
      <c r="O201">
        <v>80000</v>
      </c>
      <c r="Q201">
        <v>60000</v>
      </c>
      <c r="R201">
        <v>56000</v>
      </c>
    </row>
    <row r="202" spans="14:18" x14ac:dyDescent="0.3">
      <c r="N202" t="s">
        <v>24</v>
      </c>
      <c r="O202">
        <v>78000</v>
      </c>
      <c r="Q202">
        <v>60000</v>
      </c>
      <c r="R202">
        <v>51000</v>
      </c>
    </row>
    <row r="203" spans="14:18" x14ac:dyDescent="0.3">
      <c r="N203" t="s">
        <v>24</v>
      </c>
      <c r="O203">
        <v>110000</v>
      </c>
      <c r="Q203">
        <v>77000</v>
      </c>
      <c r="R203">
        <v>61500</v>
      </c>
    </row>
    <row r="204" spans="14:18" x14ac:dyDescent="0.3">
      <c r="N204" t="s">
        <v>24</v>
      </c>
      <c r="O204">
        <v>70000</v>
      </c>
      <c r="Q204">
        <v>60000</v>
      </c>
      <c r="R204">
        <v>50000</v>
      </c>
    </row>
    <row r="205" spans="14:18" x14ac:dyDescent="0.3">
      <c r="N205" t="s">
        <v>24</v>
      </c>
      <c r="O205">
        <v>84000</v>
      </c>
      <c r="Q205">
        <v>85000</v>
      </c>
      <c r="R205">
        <v>52500</v>
      </c>
    </row>
    <row r="206" spans="14:18" x14ac:dyDescent="0.3">
      <c r="N206" t="s">
        <v>24</v>
      </c>
      <c r="O206">
        <v>65000</v>
      </c>
      <c r="Q206">
        <v>80000</v>
      </c>
      <c r="R206">
        <v>63000</v>
      </c>
    </row>
    <row r="207" spans="14:18" x14ac:dyDescent="0.3">
      <c r="N207" t="s">
        <v>24</v>
      </c>
      <c r="O207">
        <v>77000</v>
      </c>
      <c r="Q207">
        <v>77000</v>
      </c>
      <c r="R207">
        <v>72000</v>
      </c>
    </row>
    <row r="208" spans="14:18" x14ac:dyDescent="0.3">
      <c r="N208" t="s">
        <v>24</v>
      </c>
      <c r="O208">
        <v>76000</v>
      </c>
      <c r="Q208">
        <v>74000</v>
      </c>
      <c r="R208">
        <v>51000</v>
      </c>
    </row>
    <row r="209" spans="14:18" x14ac:dyDescent="0.3">
      <c r="N209" t="s">
        <v>24</v>
      </c>
      <c r="O209">
        <v>140000</v>
      </c>
      <c r="Q209">
        <v>88000</v>
      </c>
      <c r="R209">
        <v>75000</v>
      </c>
    </row>
    <row r="210" spans="14:18" x14ac:dyDescent="0.3">
      <c r="N210" t="s">
        <v>24</v>
      </c>
      <c r="O210">
        <v>100000</v>
      </c>
      <c r="Q210">
        <v>80000</v>
      </c>
      <c r="R210">
        <v>55000</v>
      </c>
    </row>
    <row r="211" spans="14:18" x14ac:dyDescent="0.3">
      <c r="N211" t="s">
        <v>24</v>
      </c>
      <c r="O211">
        <v>80000</v>
      </c>
      <c r="Q211">
        <v>70000</v>
      </c>
      <c r="R211">
        <v>57760</v>
      </c>
    </row>
    <row r="212" spans="14:18" x14ac:dyDescent="0.3">
      <c r="N212" t="s">
        <v>24</v>
      </c>
      <c r="O212">
        <v>67000</v>
      </c>
      <c r="Q212">
        <v>48000</v>
      </c>
      <c r="R212">
        <v>54500</v>
      </c>
    </row>
    <row r="213" spans="14:18" x14ac:dyDescent="0.3">
      <c r="N213" t="s">
        <v>24</v>
      </c>
      <c r="O213">
        <v>83000</v>
      </c>
      <c r="Q213">
        <v>75000</v>
      </c>
      <c r="R213">
        <v>58000</v>
      </c>
    </row>
    <row r="214" spans="14:18" x14ac:dyDescent="0.3">
      <c r="N214" t="s">
        <v>24</v>
      </c>
      <c r="O214">
        <v>85000</v>
      </c>
      <c r="Q214">
        <v>65000</v>
      </c>
      <c r="R214">
        <v>68000</v>
      </c>
    </row>
    <row r="215" spans="14:18" x14ac:dyDescent="0.3">
      <c r="N215" t="s">
        <v>24</v>
      </c>
      <c r="O215">
        <v>85000</v>
      </c>
      <c r="Q215">
        <v>75000</v>
      </c>
      <c r="R215">
        <v>47745</v>
      </c>
    </row>
    <row r="216" spans="14:18" x14ac:dyDescent="0.3">
      <c r="N216" t="s">
        <v>24</v>
      </c>
      <c r="O216">
        <v>96000</v>
      </c>
      <c r="Q216">
        <v>86000</v>
      </c>
      <c r="R216">
        <v>100000</v>
      </c>
    </row>
    <row r="217" spans="14:18" x14ac:dyDescent="0.3">
      <c r="N217" t="s">
        <v>24</v>
      </c>
      <c r="O217">
        <v>82000</v>
      </c>
      <c r="Q217">
        <v>75000</v>
      </c>
      <c r="R217">
        <v>54000</v>
      </c>
    </row>
    <row r="218" spans="14:18" x14ac:dyDescent="0.3">
      <c r="N218" t="s">
        <v>24</v>
      </c>
      <c r="O218">
        <v>103000</v>
      </c>
      <c r="Q218">
        <v>75000</v>
      </c>
      <c r="R218">
        <v>88000</v>
      </c>
    </row>
    <row r="219" spans="14:18" x14ac:dyDescent="0.3">
      <c r="N219" t="s">
        <v>24</v>
      </c>
      <c r="O219">
        <v>100000</v>
      </c>
      <c r="Q219">
        <v>67473</v>
      </c>
      <c r="R219">
        <v>58000</v>
      </c>
    </row>
    <row r="220" spans="14:18" x14ac:dyDescent="0.3">
      <c r="N220" t="s">
        <v>24</v>
      </c>
      <c r="O220">
        <v>65000</v>
      </c>
      <c r="Q220">
        <v>69000</v>
      </c>
      <c r="R220">
        <v>79000</v>
      </c>
    </row>
    <row r="221" spans="14:18" x14ac:dyDescent="0.3">
      <c r="N221" t="s">
        <v>24</v>
      </c>
      <c r="O221">
        <v>28800</v>
      </c>
      <c r="Q221">
        <v>95000</v>
      </c>
      <c r="R221">
        <v>92500</v>
      </c>
    </row>
    <row r="222" spans="14:18" x14ac:dyDescent="0.3">
      <c r="N222" t="s">
        <v>24</v>
      </c>
      <c r="O222">
        <v>105000</v>
      </c>
      <c r="Q222">
        <v>70000</v>
      </c>
      <c r="R222">
        <v>70000</v>
      </c>
    </row>
    <row r="223" spans="14:18" x14ac:dyDescent="0.3">
      <c r="N223" t="s">
        <v>24</v>
      </c>
      <c r="O223">
        <v>69000</v>
      </c>
      <c r="Q223">
        <v>72000</v>
      </c>
      <c r="R223">
        <v>65000</v>
      </c>
    </row>
    <row r="224" spans="14:18" x14ac:dyDescent="0.3">
      <c r="N224" t="s">
        <v>24</v>
      </c>
      <c r="O224">
        <v>72000</v>
      </c>
      <c r="Q224">
        <v>70000</v>
      </c>
      <c r="R224">
        <v>65000</v>
      </c>
    </row>
    <row r="225" spans="14:18" x14ac:dyDescent="0.3">
      <c r="N225" t="s">
        <v>24</v>
      </c>
      <c r="O225">
        <v>81000</v>
      </c>
      <c r="Q225">
        <v>75000</v>
      </c>
      <c r="R225">
        <v>72000</v>
      </c>
    </row>
    <row r="226" spans="14:18" x14ac:dyDescent="0.3">
      <c r="N226" t="s">
        <v>24</v>
      </c>
      <c r="O226">
        <v>100000</v>
      </c>
      <c r="Q226">
        <v>35000</v>
      </c>
      <c r="R226">
        <v>80000</v>
      </c>
    </row>
    <row r="227" spans="14:18" x14ac:dyDescent="0.3">
      <c r="N227" t="s">
        <v>24</v>
      </c>
      <c r="O227">
        <v>95000</v>
      </c>
      <c r="Q227">
        <v>66300</v>
      </c>
      <c r="R227">
        <v>60000</v>
      </c>
    </row>
    <row r="228" spans="14:18" x14ac:dyDescent="0.3">
      <c r="N228" t="s">
        <v>24</v>
      </c>
      <c r="O228">
        <v>70000</v>
      </c>
      <c r="Q228">
        <v>75000</v>
      </c>
      <c r="R228">
        <v>68000</v>
      </c>
    </row>
    <row r="229" spans="14:18" x14ac:dyDescent="0.3">
      <c r="N229" t="s">
        <v>24</v>
      </c>
      <c r="O229">
        <v>100000</v>
      </c>
      <c r="Q229">
        <v>75000</v>
      </c>
      <c r="R229">
        <v>53000</v>
      </c>
    </row>
    <row r="230" spans="14:18" x14ac:dyDescent="0.3">
      <c r="N230" t="s">
        <v>24</v>
      </c>
      <c r="O230">
        <v>96000</v>
      </c>
      <c r="Q230">
        <v>55000</v>
      </c>
      <c r="R230">
        <v>67000</v>
      </c>
    </row>
    <row r="231" spans="14:18" x14ac:dyDescent="0.3">
      <c r="N231" t="s">
        <v>24</v>
      </c>
      <c r="O231">
        <v>85000</v>
      </c>
      <c r="Q231">
        <v>80000</v>
      </c>
      <c r="R231">
        <v>95000</v>
      </c>
    </row>
    <row r="232" spans="14:18" x14ac:dyDescent="0.3">
      <c r="N232" t="s">
        <v>24</v>
      </c>
      <c r="O232">
        <v>90000</v>
      </c>
      <c r="Q232">
        <v>120000</v>
      </c>
      <c r="R232">
        <v>82000</v>
      </c>
    </row>
    <row r="233" spans="14:18" x14ac:dyDescent="0.3">
      <c r="N233" t="s">
        <v>24</v>
      </c>
      <c r="O233">
        <v>85000</v>
      </c>
      <c r="Q233">
        <v>54000</v>
      </c>
      <c r="R233">
        <v>77600</v>
      </c>
    </row>
    <row r="234" spans="14:18" x14ac:dyDescent="0.3">
      <c r="N234" t="s">
        <v>24</v>
      </c>
      <c r="O234">
        <v>95000</v>
      </c>
      <c r="Q234">
        <v>70000</v>
      </c>
      <c r="R234">
        <v>60000</v>
      </c>
    </row>
    <row r="235" spans="14:18" x14ac:dyDescent="0.3">
      <c r="N235" t="s">
        <v>24</v>
      </c>
      <c r="O235">
        <v>90000</v>
      </c>
      <c r="Q235">
        <v>74000</v>
      </c>
      <c r="R235">
        <v>70500</v>
      </c>
    </row>
    <row r="236" spans="14:18" x14ac:dyDescent="0.3">
      <c r="N236" t="s">
        <v>24</v>
      </c>
      <c r="O236">
        <v>75000</v>
      </c>
      <c r="Q236">
        <v>72000</v>
      </c>
      <c r="R236">
        <v>80000</v>
      </c>
    </row>
    <row r="237" spans="14:18" x14ac:dyDescent="0.3">
      <c r="N237" t="s">
        <v>24</v>
      </c>
      <c r="O237">
        <v>100000</v>
      </c>
      <c r="Q237">
        <v>82000</v>
      </c>
      <c r="R237">
        <v>56000</v>
      </c>
    </row>
    <row r="238" spans="14:18" x14ac:dyDescent="0.3">
      <c r="N238" t="s">
        <v>24</v>
      </c>
      <c r="O238">
        <v>83000</v>
      </c>
      <c r="Q238">
        <v>64000</v>
      </c>
      <c r="R238">
        <v>58000</v>
      </c>
    </row>
    <row r="239" spans="14:18" x14ac:dyDescent="0.3">
      <c r="N239" t="s">
        <v>24</v>
      </c>
      <c r="O239">
        <v>105000</v>
      </c>
      <c r="Q239">
        <v>62000</v>
      </c>
      <c r="R239">
        <v>75000</v>
      </c>
    </row>
    <row r="240" spans="14:18" x14ac:dyDescent="0.3">
      <c r="N240" t="s">
        <v>24</v>
      </c>
      <c r="O240">
        <v>78000</v>
      </c>
      <c r="Q240">
        <v>56000</v>
      </c>
      <c r="R240">
        <v>65000</v>
      </c>
    </row>
    <row r="241" spans="14:18" x14ac:dyDescent="0.3">
      <c r="N241" t="s">
        <v>24</v>
      </c>
      <c r="O241">
        <v>89570</v>
      </c>
      <c r="Q241">
        <v>69000</v>
      </c>
      <c r="R241">
        <v>83000</v>
      </c>
    </row>
    <row r="242" spans="14:18" x14ac:dyDescent="0.3">
      <c r="N242" t="s">
        <v>24</v>
      </c>
      <c r="O242">
        <v>95000</v>
      </c>
      <c r="Q242">
        <v>63500</v>
      </c>
      <c r="R242">
        <v>54000</v>
      </c>
    </row>
    <row r="243" spans="14:18" x14ac:dyDescent="0.3">
      <c r="N243" t="s">
        <v>24</v>
      </c>
      <c r="O243">
        <v>95000</v>
      </c>
      <c r="Q243">
        <v>66000</v>
      </c>
      <c r="R243">
        <v>55200</v>
      </c>
    </row>
    <row r="244" spans="14:18" x14ac:dyDescent="0.3">
      <c r="N244" t="s">
        <v>24</v>
      </c>
      <c r="O244">
        <v>83000</v>
      </c>
      <c r="Q244">
        <v>77000</v>
      </c>
      <c r="R244">
        <v>65000</v>
      </c>
    </row>
    <row r="245" spans="14:18" x14ac:dyDescent="0.3">
      <c r="N245" t="s">
        <v>24</v>
      </c>
      <c r="O245">
        <v>82000</v>
      </c>
      <c r="Q245">
        <v>85000</v>
      </c>
      <c r="R245">
        <v>65000</v>
      </c>
    </row>
    <row r="246" spans="14:18" x14ac:dyDescent="0.3">
      <c r="N246" t="s">
        <v>24</v>
      </c>
      <c r="O246">
        <v>72000</v>
      </c>
      <c r="Q246">
        <v>60000</v>
      </c>
      <c r="R246">
        <v>70000</v>
      </c>
    </row>
    <row r="247" spans="14:18" x14ac:dyDescent="0.3">
      <c r="N247" t="s">
        <v>24</v>
      </c>
      <c r="O247">
        <v>20000</v>
      </c>
      <c r="Q247">
        <v>70000</v>
      </c>
      <c r="R247">
        <v>55000</v>
      </c>
    </row>
    <row r="248" spans="14:18" x14ac:dyDescent="0.3">
      <c r="N248" t="s">
        <v>24</v>
      </c>
      <c r="O248">
        <v>80000</v>
      </c>
      <c r="Q248">
        <v>73000</v>
      </c>
      <c r="R248">
        <v>56000</v>
      </c>
    </row>
    <row r="249" spans="14:18" x14ac:dyDescent="0.3">
      <c r="N249" t="s">
        <v>24</v>
      </c>
      <c r="O249">
        <v>95500</v>
      </c>
      <c r="Q249">
        <v>76000</v>
      </c>
      <c r="R249">
        <v>60000</v>
      </c>
    </row>
    <row r="250" spans="14:18" x14ac:dyDescent="0.3">
      <c r="N250" t="s">
        <v>24</v>
      </c>
      <c r="O250">
        <v>130000</v>
      </c>
      <c r="Q250">
        <v>80000</v>
      </c>
      <c r="R250">
        <v>56000</v>
      </c>
    </row>
    <row r="251" spans="14:18" x14ac:dyDescent="0.3">
      <c r="N251" t="s">
        <v>24</v>
      </c>
      <c r="O251">
        <v>93000</v>
      </c>
      <c r="Q251">
        <v>72000</v>
      </c>
      <c r="R251">
        <v>65000</v>
      </c>
    </row>
    <row r="252" spans="14:18" x14ac:dyDescent="0.3">
      <c r="N252" t="s">
        <v>24</v>
      </c>
      <c r="O252">
        <v>120000</v>
      </c>
      <c r="Q252">
        <v>70000</v>
      </c>
      <c r="R252">
        <v>78000</v>
      </c>
    </row>
    <row r="253" spans="14:18" x14ac:dyDescent="0.3">
      <c r="N253" t="s">
        <v>24</v>
      </c>
      <c r="O253">
        <v>78000</v>
      </c>
      <c r="Q253">
        <v>70000</v>
      </c>
      <c r="R253">
        <v>65000</v>
      </c>
    </row>
    <row r="254" spans="14:18" x14ac:dyDescent="0.3">
      <c r="N254" t="s">
        <v>24</v>
      </c>
      <c r="O254">
        <v>85000</v>
      </c>
      <c r="Q254">
        <v>81000</v>
      </c>
      <c r="R254">
        <v>65000</v>
      </c>
    </row>
    <row r="255" spans="14:18" x14ac:dyDescent="0.3">
      <c r="N255" t="s">
        <v>24</v>
      </c>
      <c r="O255">
        <v>95000</v>
      </c>
      <c r="Q255">
        <v>75000</v>
      </c>
      <c r="R255">
        <v>50500</v>
      </c>
    </row>
    <row r="256" spans="14:18" x14ac:dyDescent="0.3">
      <c r="N256" t="s">
        <v>24</v>
      </c>
      <c r="O256">
        <v>95000</v>
      </c>
      <c r="Q256">
        <v>50000</v>
      </c>
      <c r="R256">
        <v>32000</v>
      </c>
    </row>
    <row r="257" spans="14:18" x14ac:dyDescent="0.3">
      <c r="N257" t="s">
        <v>24</v>
      </c>
      <c r="O257">
        <v>95000</v>
      </c>
      <c r="Q257">
        <v>60000</v>
      </c>
      <c r="R257">
        <v>70200</v>
      </c>
    </row>
    <row r="258" spans="14:18" x14ac:dyDescent="0.3">
      <c r="N258" t="s">
        <v>24</v>
      </c>
      <c r="O258">
        <v>95000</v>
      </c>
      <c r="Q258">
        <v>62000</v>
      </c>
      <c r="R258">
        <v>80000</v>
      </c>
    </row>
    <row r="259" spans="14:18" x14ac:dyDescent="0.3">
      <c r="N259" t="s">
        <v>24</v>
      </c>
      <c r="O259">
        <v>95000</v>
      </c>
      <c r="Q259">
        <v>70000</v>
      </c>
      <c r="R259">
        <v>62000</v>
      </c>
    </row>
    <row r="260" spans="14:18" x14ac:dyDescent="0.3">
      <c r="N260" t="s">
        <v>24</v>
      </c>
      <c r="O260">
        <v>85000</v>
      </c>
      <c r="Q260">
        <v>60000</v>
      </c>
      <c r="R260">
        <v>72000</v>
      </c>
    </row>
    <row r="261" spans="14:18" x14ac:dyDescent="0.3">
      <c r="N261" t="s">
        <v>24</v>
      </c>
      <c r="O261">
        <v>99000</v>
      </c>
      <c r="Q261">
        <v>70000</v>
      </c>
      <c r="R261">
        <v>62000</v>
      </c>
    </row>
    <row r="262" spans="14:18" x14ac:dyDescent="0.3">
      <c r="N262" t="s">
        <v>24</v>
      </c>
      <c r="O262">
        <v>57600</v>
      </c>
      <c r="Q262">
        <v>71060</v>
      </c>
      <c r="R262">
        <v>60000</v>
      </c>
    </row>
    <row r="263" spans="14:18" x14ac:dyDescent="0.3">
      <c r="N263" t="s">
        <v>24</v>
      </c>
      <c r="O263">
        <v>120000</v>
      </c>
      <c r="Q263">
        <v>75000</v>
      </c>
      <c r="R263">
        <v>66000</v>
      </c>
    </row>
    <row r="264" spans="14:18" x14ac:dyDescent="0.3">
      <c r="N264" t="s">
        <v>24</v>
      </c>
      <c r="O264">
        <v>90000</v>
      </c>
      <c r="Q264">
        <v>57000</v>
      </c>
      <c r="R264">
        <v>14712</v>
      </c>
    </row>
    <row r="265" spans="14:18" x14ac:dyDescent="0.3">
      <c r="N265" t="s">
        <v>24</v>
      </c>
      <c r="O265">
        <v>90000</v>
      </c>
      <c r="Q265">
        <v>57000</v>
      </c>
      <c r="R265">
        <v>65000</v>
      </c>
    </row>
    <row r="266" spans="14:18" x14ac:dyDescent="0.3">
      <c r="N266" t="s">
        <v>24</v>
      </c>
      <c r="O266">
        <v>75000</v>
      </c>
      <c r="Q266">
        <v>75000</v>
      </c>
      <c r="R266">
        <v>64000</v>
      </c>
    </row>
    <row r="267" spans="14:18" x14ac:dyDescent="0.3">
      <c r="N267" t="s">
        <v>24</v>
      </c>
      <c r="O267">
        <v>70200</v>
      </c>
      <c r="Q267">
        <v>65000</v>
      </c>
      <c r="R267">
        <v>60000</v>
      </c>
    </row>
    <row r="268" spans="14:18" x14ac:dyDescent="0.3">
      <c r="N268" t="s">
        <v>24</v>
      </c>
      <c r="O268">
        <v>80000</v>
      </c>
      <c r="Q268">
        <v>68500</v>
      </c>
      <c r="R268">
        <v>73000</v>
      </c>
    </row>
    <row r="269" spans="14:18" x14ac:dyDescent="0.3">
      <c r="N269" t="s">
        <v>24</v>
      </c>
      <c r="O269">
        <v>120000</v>
      </c>
      <c r="Q269">
        <v>65000</v>
      </c>
      <c r="R269">
        <v>65000</v>
      </c>
    </row>
    <row r="270" spans="14:18" x14ac:dyDescent="0.3">
      <c r="N270" t="s">
        <v>24</v>
      </c>
      <c r="O270">
        <v>135000</v>
      </c>
      <c r="Q270">
        <v>78000</v>
      </c>
      <c r="R270">
        <v>44000</v>
      </c>
    </row>
    <row r="271" spans="14:18" x14ac:dyDescent="0.3">
      <c r="N271" t="s">
        <v>24</v>
      </c>
      <c r="O271">
        <v>90000</v>
      </c>
      <c r="Q271">
        <v>60000</v>
      </c>
      <c r="R271">
        <v>55000</v>
      </c>
    </row>
    <row r="272" spans="14:18" x14ac:dyDescent="0.3">
      <c r="N272" t="s">
        <v>24</v>
      </c>
      <c r="O272">
        <v>90000</v>
      </c>
      <c r="Q272">
        <v>60000</v>
      </c>
      <c r="R272">
        <v>60000</v>
      </c>
    </row>
    <row r="273" spans="14:18" x14ac:dyDescent="0.3">
      <c r="N273" t="s">
        <v>24</v>
      </c>
      <c r="O273">
        <v>80000</v>
      </c>
      <c r="Q273">
        <v>60000</v>
      </c>
      <c r="R273">
        <v>66000</v>
      </c>
    </row>
    <row r="274" spans="14:18" x14ac:dyDescent="0.3">
      <c r="N274" t="s">
        <v>24</v>
      </c>
      <c r="O274">
        <v>72000</v>
      </c>
      <c r="Q274">
        <v>61000</v>
      </c>
      <c r="R274">
        <v>65600</v>
      </c>
    </row>
    <row r="275" spans="14:18" x14ac:dyDescent="0.3">
      <c r="N275" t="s">
        <v>24</v>
      </c>
      <c r="O275">
        <v>65000</v>
      </c>
      <c r="Q275">
        <v>80000</v>
      </c>
      <c r="R275">
        <v>77000</v>
      </c>
    </row>
    <row r="276" spans="14:18" x14ac:dyDescent="0.3">
      <c r="N276" t="s">
        <v>24</v>
      </c>
      <c r="O276">
        <v>62000</v>
      </c>
      <c r="Q276">
        <v>72000</v>
      </c>
      <c r="R276">
        <v>58000</v>
      </c>
    </row>
    <row r="277" spans="14:18" x14ac:dyDescent="0.3">
      <c r="N277" t="s">
        <v>24</v>
      </c>
      <c r="O277">
        <v>100000</v>
      </c>
      <c r="Q277">
        <v>50400</v>
      </c>
      <c r="R277">
        <v>45000</v>
      </c>
    </row>
    <row r="278" spans="14:18" x14ac:dyDescent="0.3">
      <c r="N278" t="s">
        <v>24</v>
      </c>
      <c r="O278">
        <v>92000</v>
      </c>
      <c r="Q278">
        <v>67000</v>
      </c>
      <c r="R278">
        <v>56700</v>
      </c>
    </row>
    <row r="279" spans="14:18" x14ac:dyDescent="0.3">
      <c r="N279" t="s">
        <v>24</v>
      </c>
      <c r="O279">
        <v>100000</v>
      </c>
      <c r="Q279">
        <v>90000</v>
      </c>
      <c r="R279">
        <v>46000</v>
      </c>
    </row>
    <row r="280" spans="14:18" x14ac:dyDescent="0.3">
      <c r="N280" t="s">
        <v>24</v>
      </c>
      <c r="O280">
        <v>70000</v>
      </c>
      <c r="Q280">
        <v>93000</v>
      </c>
      <c r="R280">
        <v>54000</v>
      </c>
    </row>
    <row r="281" spans="14:18" x14ac:dyDescent="0.3">
      <c r="N281" t="s">
        <v>24</v>
      </c>
      <c r="O281">
        <v>90000</v>
      </c>
      <c r="Q281">
        <v>84700</v>
      </c>
      <c r="R281">
        <v>63000</v>
      </c>
    </row>
    <row r="282" spans="14:18" x14ac:dyDescent="0.3">
      <c r="N282" t="s">
        <v>24</v>
      </c>
      <c r="O282">
        <v>120000</v>
      </c>
      <c r="Q282">
        <v>62000</v>
      </c>
      <c r="R282">
        <v>63000</v>
      </c>
    </row>
    <row r="283" spans="14:18" x14ac:dyDescent="0.3">
      <c r="N283" t="s">
        <v>24</v>
      </c>
      <c r="O283">
        <v>85000</v>
      </c>
      <c r="Q283">
        <v>65000</v>
      </c>
      <c r="R283">
        <v>42000</v>
      </c>
    </row>
    <row r="284" spans="14:18" x14ac:dyDescent="0.3">
      <c r="N284" t="s">
        <v>24</v>
      </c>
      <c r="O284">
        <v>62500</v>
      </c>
      <c r="Q284">
        <v>81000</v>
      </c>
      <c r="R284">
        <v>62000</v>
      </c>
    </row>
    <row r="285" spans="14:18" x14ac:dyDescent="0.3">
      <c r="N285" t="s">
        <v>24</v>
      </c>
      <c r="O285">
        <v>65000</v>
      </c>
      <c r="Q285">
        <v>80000</v>
      </c>
      <c r="R285">
        <v>63000</v>
      </c>
    </row>
    <row r="286" spans="14:18" x14ac:dyDescent="0.3">
      <c r="N286" t="s">
        <v>24</v>
      </c>
      <c r="O286">
        <v>110000</v>
      </c>
      <c r="Q286">
        <v>80000</v>
      </c>
      <c r="R286">
        <v>60000</v>
      </c>
    </row>
    <row r="287" spans="14:18" x14ac:dyDescent="0.3">
      <c r="N287" t="s">
        <v>24</v>
      </c>
      <c r="O287">
        <v>78000</v>
      </c>
      <c r="Q287">
        <v>76000</v>
      </c>
      <c r="R287">
        <v>65000</v>
      </c>
    </row>
    <row r="288" spans="14:18" x14ac:dyDescent="0.3">
      <c r="N288" t="s">
        <v>24</v>
      </c>
      <c r="O288">
        <v>85000</v>
      </c>
      <c r="Q288">
        <v>45000</v>
      </c>
      <c r="R288">
        <v>48000</v>
      </c>
    </row>
    <row r="289" spans="14:18" x14ac:dyDescent="0.3">
      <c r="N289" t="s">
        <v>24</v>
      </c>
      <c r="O289">
        <v>250000</v>
      </c>
      <c r="Q289">
        <v>56400</v>
      </c>
      <c r="R289">
        <v>55000</v>
      </c>
    </row>
    <row r="290" spans="14:18" x14ac:dyDescent="0.3">
      <c r="N290" t="s">
        <v>24</v>
      </c>
      <c r="O290">
        <v>95000</v>
      </c>
      <c r="Q290">
        <v>72000</v>
      </c>
      <c r="R290">
        <v>58000</v>
      </c>
    </row>
    <row r="291" spans="14:18" x14ac:dyDescent="0.3">
      <c r="N291" t="s">
        <v>24</v>
      </c>
      <c r="O291">
        <v>90000</v>
      </c>
      <c r="Q291">
        <v>70000</v>
      </c>
      <c r="R291">
        <v>66000</v>
      </c>
    </row>
    <row r="292" spans="14:18" x14ac:dyDescent="0.3">
      <c r="N292" t="s">
        <v>24</v>
      </c>
      <c r="O292">
        <v>80000</v>
      </c>
      <c r="Q292">
        <v>65400</v>
      </c>
      <c r="R292">
        <v>50000</v>
      </c>
    </row>
    <row r="293" spans="14:18" x14ac:dyDescent="0.3">
      <c r="N293" t="s">
        <v>24</v>
      </c>
      <c r="O293">
        <v>80000</v>
      </c>
      <c r="Q293">
        <v>80000</v>
      </c>
      <c r="R293">
        <v>75000</v>
      </c>
    </row>
    <row r="294" spans="14:18" x14ac:dyDescent="0.3">
      <c r="N294" t="s">
        <v>24</v>
      </c>
      <c r="O294">
        <v>90000</v>
      </c>
      <c r="Q294">
        <v>55000</v>
      </c>
      <c r="R294">
        <v>60000</v>
      </c>
    </row>
    <row r="295" spans="14:18" x14ac:dyDescent="0.3">
      <c r="N295" t="s">
        <v>24</v>
      </c>
      <c r="O295">
        <v>78000</v>
      </c>
      <c r="Q295">
        <v>65000</v>
      </c>
      <c r="R295">
        <v>75000</v>
      </c>
    </row>
    <row r="296" spans="14:18" x14ac:dyDescent="0.3">
      <c r="N296" t="s">
        <v>24</v>
      </c>
      <c r="O296">
        <v>78000</v>
      </c>
      <c r="Q296">
        <v>64800</v>
      </c>
      <c r="R296">
        <v>57000</v>
      </c>
    </row>
    <row r="297" spans="14:18" x14ac:dyDescent="0.3">
      <c r="N297" t="s">
        <v>24</v>
      </c>
      <c r="O297">
        <v>100000</v>
      </c>
      <c r="Q297">
        <v>78000</v>
      </c>
      <c r="R297">
        <v>60000</v>
      </c>
    </row>
    <row r="298" spans="14:18" x14ac:dyDescent="0.3">
      <c r="N298" t="s">
        <v>24</v>
      </c>
      <c r="O298">
        <v>108000</v>
      </c>
      <c r="Q298">
        <v>60000</v>
      </c>
      <c r="R298">
        <v>51000</v>
      </c>
    </row>
    <row r="299" spans="14:18" x14ac:dyDescent="0.3">
      <c r="N299" t="s">
        <v>106</v>
      </c>
      <c r="O299">
        <v>89200</v>
      </c>
      <c r="Q299">
        <v>93000</v>
      </c>
      <c r="R299">
        <v>65000</v>
      </c>
    </row>
    <row r="300" spans="14:18" x14ac:dyDescent="0.3">
      <c r="N300" t="s">
        <v>28</v>
      </c>
      <c r="O300">
        <v>10001</v>
      </c>
      <c r="Q300">
        <v>110000</v>
      </c>
      <c r="R300">
        <v>65000</v>
      </c>
    </row>
    <row r="301" spans="14:18" x14ac:dyDescent="0.3">
      <c r="N301" t="s">
        <v>28</v>
      </c>
      <c r="O301">
        <v>37500</v>
      </c>
      <c r="Q301">
        <v>62000</v>
      </c>
      <c r="R301">
        <v>50000</v>
      </c>
    </row>
    <row r="302" spans="14:18" x14ac:dyDescent="0.3">
      <c r="N302" t="s">
        <v>28</v>
      </c>
      <c r="O302">
        <v>29000</v>
      </c>
      <c r="Q302">
        <v>60000</v>
      </c>
      <c r="R302">
        <v>62000</v>
      </c>
    </row>
    <row r="303" spans="14:18" x14ac:dyDescent="0.3">
      <c r="N303" t="s">
        <v>28</v>
      </c>
      <c r="O303">
        <v>24000</v>
      </c>
      <c r="Q303">
        <v>75000</v>
      </c>
      <c r="R303">
        <v>55000</v>
      </c>
    </row>
    <row r="304" spans="14:18" x14ac:dyDescent="0.3">
      <c r="N304" t="s">
        <v>28</v>
      </c>
      <c r="O304">
        <v>54000</v>
      </c>
      <c r="Q304">
        <v>60000</v>
      </c>
      <c r="R304">
        <v>50000</v>
      </c>
    </row>
    <row r="305" spans="14:18" x14ac:dyDescent="0.3">
      <c r="N305" t="s">
        <v>28</v>
      </c>
      <c r="O305">
        <v>52000</v>
      </c>
      <c r="Q305">
        <v>60000</v>
      </c>
      <c r="R305">
        <v>65000</v>
      </c>
    </row>
    <row r="306" spans="14:18" x14ac:dyDescent="0.3">
      <c r="N306" t="s">
        <v>28</v>
      </c>
      <c r="O306">
        <v>30000</v>
      </c>
      <c r="Q306">
        <v>70800</v>
      </c>
      <c r="R306">
        <v>65000</v>
      </c>
    </row>
    <row r="307" spans="14:18" x14ac:dyDescent="0.3">
      <c r="N307" t="s">
        <v>28</v>
      </c>
      <c r="O307">
        <v>21120</v>
      </c>
      <c r="Q307">
        <v>67500</v>
      </c>
      <c r="R307">
        <v>65000</v>
      </c>
    </row>
    <row r="308" spans="14:18" x14ac:dyDescent="0.3">
      <c r="N308" t="s">
        <v>28</v>
      </c>
      <c r="O308">
        <v>57000</v>
      </c>
      <c r="Q308">
        <v>85000</v>
      </c>
      <c r="R308">
        <v>65000</v>
      </c>
    </row>
    <row r="309" spans="14:18" x14ac:dyDescent="0.3">
      <c r="N309" t="s">
        <v>28</v>
      </c>
      <c r="O309">
        <v>50000</v>
      </c>
      <c r="Q309">
        <v>84000</v>
      </c>
      <c r="R309">
        <v>62000</v>
      </c>
    </row>
    <row r="310" spans="14:18" x14ac:dyDescent="0.3">
      <c r="N310" t="s">
        <v>28</v>
      </c>
      <c r="O310">
        <v>27000</v>
      </c>
      <c r="Q310">
        <v>75000</v>
      </c>
      <c r="R310">
        <v>48000</v>
      </c>
    </row>
    <row r="311" spans="14:18" x14ac:dyDescent="0.3">
      <c r="N311" t="s">
        <v>28</v>
      </c>
      <c r="O311">
        <v>27000</v>
      </c>
      <c r="Q311">
        <v>90000</v>
      </c>
      <c r="R311">
        <v>53000</v>
      </c>
    </row>
    <row r="312" spans="14:18" x14ac:dyDescent="0.3">
      <c r="N312" t="s">
        <v>28</v>
      </c>
      <c r="O312">
        <v>55000</v>
      </c>
      <c r="Q312">
        <v>79300</v>
      </c>
      <c r="R312">
        <v>65000</v>
      </c>
    </row>
    <row r="313" spans="14:18" x14ac:dyDescent="0.3">
      <c r="N313" t="s">
        <v>28</v>
      </c>
      <c r="O313">
        <v>17500</v>
      </c>
      <c r="Q313">
        <v>120000</v>
      </c>
      <c r="R313">
        <v>50000</v>
      </c>
    </row>
    <row r="314" spans="14:18" x14ac:dyDescent="0.3">
      <c r="N314" t="s">
        <v>28</v>
      </c>
      <c r="O314">
        <v>18700</v>
      </c>
      <c r="Q314">
        <v>70000</v>
      </c>
      <c r="R314">
        <v>60000</v>
      </c>
    </row>
    <row r="315" spans="14:18" x14ac:dyDescent="0.3">
      <c r="N315" t="s">
        <v>28</v>
      </c>
      <c r="O315">
        <v>21000</v>
      </c>
      <c r="Q315">
        <v>120000</v>
      </c>
      <c r="R315">
        <v>65000</v>
      </c>
    </row>
    <row r="316" spans="14:18" x14ac:dyDescent="0.3">
      <c r="N316" t="s">
        <v>28</v>
      </c>
      <c r="O316">
        <v>60000</v>
      </c>
      <c r="Q316">
        <v>90000</v>
      </c>
      <c r="R316">
        <v>53000</v>
      </c>
    </row>
    <row r="317" spans="14:18" x14ac:dyDescent="0.3">
      <c r="N317" t="s">
        <v>28</v>
      </c>
      <c r="O317">
        <v>72000</v>
      </c>
      <c r="Q317">
        <v>93000</v>
      </c>
      <c r="R317">
        <v>62000</v>
      </c>
    </row>
    <row r="318" spans="14:18" x14ac:dyDescent="0.3">
      <c r="N318" t="s">
        <v>28</v>
      </c>
      <c r="O318">
        <v>50000</v>
      </c>
      <c r="Q318">
        <v>75000</v>
      </c>
      <c r="R318">
        <v>68000</v>
      </c>
    </row>
    <row r="319" spans="14:18" x14ac:dyDescent="0.3">
      <c r="N319" t="s">
        <v>28</v>
      </c>
      <c r="O319">
        <v>50000</v>
      </c>
      <c r="Q319">
        <v>76000</v>
      </c>
      <c r="R319">
        <v>66000</v>
      </c>
    </row>
    <row r="320" spans="14:18" x14ac:dyDescent="0.3">
      <c r="N320" t="s">
        <v>28</v>
      </c>
      <c r="O320">
        <v>54000</v>
      </c>
      <c r="Q320">
        <v>100000</v>
      </c>
      <c r="R320">
        <v>68000</v>
      </c>
    </row>
    <row r="321" spans="14:18" x14ac:dyDescent="0.3">
      <c r="N321" t="s">
        <v>28</v>
      </c>
      <c r="O321">
        <v>57000</v>
      </c>
      <c r="Q321">
        <v>98000</v>
      </c>
      <c r="R321">
        <v>89000</v>
      </c>
    </row>
    <row r="322" spans="14:18" x14ac:dyDescent="0.3">
      <c r="N322" t="s">
        <v>28</v>
      </c>
      <c r="O322">
        <v>55000</v>
      </c>
      <c r="Q322">
        <v>73000</v>
      </c>
      <c r="R322">
        <v>62000</v>
      </c>
    </row>
    <row r="323" spans="14:18" x14ac:dyDescent="0.3">
      <c r="N323" t="s">
        <v>28</v>
      </c>
      <c r="O323">
        <v>55000</v>
      </c>
      <c r="Q323">
        <v>65900</v>
      </c>
      <c r="R323">
        <v>57750</v>
      </c>
    </row>
    <row r="324" spans="14:18" x14ac:dyDescent="0.3">
      <c r="N324" t="s">
        <v>28</v>
      </c>
      <c r="O324">
        <v>55000</v>
      </c>
      <c r="Q324">
        <v>100000</v>
      </c>
      <c r="R324">
        <v>55000</v>
      </c>
    </row>
    <row r="325" spans="14:18" x14ac:dyDescent="0.3">
      <c r="N325" t="s">
        <v>28</v>
      </c>
      <c r="O325">
        <v>60000</v>
      </c>
      <c r="Q325">
        <v>72000</v>
      </c>
      <c r="R325">
        <v>54000</v>
      </c>
    </row>
    <row r="326" spans="14:18" x14ac:dyDescent="0.3">
      <c r="N326" t="s">
        <v>28</v>
      </c>
      <c r="O326">
        <v>32000</v>
      </c>
      <c r="Q326">
        <v>67200</v>
      </c>
      <c r="R326">
        <v>60000</v>
      </c>
    </row>
    <row r="327" spans="14:18" x14ac:dyDescent="0.3">
      <c r="N327" t="s">
        <v>28</v>
      </c>
      <c r="O327">
        <v>60000</v>
      </c>
      <c r="Q327">
        <v>74000</v>
      </c>
      <c r="R327">
        <v>65000</v>
      </c>
    </row>
    <row r="328" spans="14:18" x14ac:dyDescent="0.3">
      <c r="N328" t="s">
        <v>28</v>
      </c>
      <c r="O328">
        <v>39000</v>
      </c>
      <c r="Q328">
        <v>73000</v>
      </c>
      <c r="R328">
        <v>63000</v>
      </c>
    </row>
    <row r="329" spans="14:18" x14ac:dyDescent="0.3">
      <c r="N329" t="s">
        <v>28</v>
      </c>
      <c r="O329">
        <v>20000</v>
      </c>
      <c r="Q329">
        <v>81500</v>
      </c>
      <c r="R329">
        <v>49000</v>
      </c>
    </row>
    <row r="330" spans="14:18" x14ac:dyDescent="0.3">
      <c r="N330" t="s">
        <v>28</v>
      </c>
      <c r="O330">
        <v>20000</v>
      </c>
      <c r="Q330">
        <v>88000</v>
      </c>
      <c r="R330">
        <v>66000</v>
      </c>
    </row>
    <row r="331" spans="14:18" x14ac:dyDescent="0.3">
      <c r="N331" t="s">
        <v>28</v>
      </c>
      <c r="O331">
        <v>57000</v>
      </c>
      <c r="Q331">
        <v>62400</v>
      </c>
      <c r="R331">
        <v>70000</v>
      </c>
    </row>
    <row r="332" spans="14:18" x14ac:dyDescent="0.3">
      <c r="N332" t="s">
        <v>28</v>
      </c>
      <c r="O332">
        <v>85000</v>
      </c>
      <c r="Q332">
        <v>61000</v>
      </c>
      <c r="R332">
        <v>59064</v>
      </c>
    </row>
    <row r="333" spans="14:18" x14ac:dyDescent="0.3">
      <c r="N333" t="s">
        <v>28</v>
      </c>
      <c r="O333">
        <v>63000</v>
      </c>
      <c r="Q333">
        <v>90000</v>
      </c>
      <c r="R333">
        <v>63000</v>
      </c>
    </row>
    <row r="334" spans="14:18" x14ac:dyDescent="0.3">
      <c r="N334" t="s">
        <v>28</v>
      </c>
      <c r="O334">
        <v>58000</v>
      </c>
      <c r="Q334">
        <v>151872</v>
      </c>
      <c r="R334">
        <v>65000</v>
      </c>
    </row>
    <row r="335" spans="14:18" x14ac:dyDescent="0.3">
      <c r="N335" t="s">
        <v>28</v>
      </c>
      <c r="O335">
        <v>37500</v>
      </c>
      <c r="Q335">
        <v>70000</v>
      </c>
      <c r="R335">
        <v>60000</v>
      </c>
    </row>
    <row r="336" spans="14:18" x14ac:dyDescent="0.3">
      <c r="N336" t="s">
        <v>28</v>
      </c>
      <c r="O336">
        <v>30000</v>
      </c>
      <c r="Q336">
        <v>57000</v>
      </c>
      <c r="R336">
        <v>65000</v>
      </c>
    </row>
    <row r="337" spans="14:18" x14ac:dyDescent="0.3">
      <c r="N337" t="s">
        <v>28</v>
      </c>
      <c r="O337">
        <v>65000</v>
      </c>
      <c r="Q337">
        <v>95000</v>
      </c>
      <c r="R337">
        <v>65000</v>
      </c>
    </row>
    <row r="338" spans="14:18" x14ac:dyDescent="0.3">
      <c r="N338" t="s">
        <v>28</v>
      </c>
      <c r="O338">
        <v>65000</v>
      </c>
      <c r="Q338">
        <v>85000</v>
      </c>
      <c r="R338">
        <v>43000</v>
      </c>
    </row>
    <row r="339" spans="14:18" x14ac:dyDescent="0.3">
      <c r="N339" t="s">
        <v>28</v>
      </c>
      <c r="O339">
        <v>60000</v>
      </c>
      <c r="Q339">
        <v>80000</v>
      </c>
      <c r="R339">
        <v>45000</v>
      </c>
    </row>
    <row r="340" spans="14:18" x14ac:dyDescent="0.3">
      <c r="N340" t="s">
        <v>28</v>
      </c>
      <c r="O340">
        <v>58000</v>
      </c>
      <c r="Q340">
        <v>60000</v>
      </c>
      <c r="R340">
        <v>69000</v>
      </c>
    </row>
    <row r="341" spans="14:18" x14ac:dyDescent="0.3">
      <c r="N341" t="s">
        <v>28</v>
      </c>
      <c r="O341">
        <v>55000</v>
      </c>
      <c r="Q341">
        <v>76000</v>
      </c>
      <c r="R341">
        <v>55000</v>
      </c>
    </row>
    <row r="342" spans="14:18" x14ac:dyDescent="0.3">
      <c r="N342" t="s">
        <v>28</v>
      </c>
      <c r="O342">
        <v>51000</v>
      </c>
      <c r="Q342">
        <v>60000</v>
      </c>
      <c r="R342">
        <v>60350</v>
      </c>
    </row>
    <row r="343" spans="14:18" x14ac:dyDescent="0.3">
      <c r="N343" t="s">
        <v>28</v>
      </c>
      <c r="O343">
        <v>100000</v>
      </c>
      <c r="Q343">
        <v>68000</v>
      </c>
      <c r="R343">
        <v>67000</v>
      </c>
    </row>
    <row r="344" spans="14:18" x14ac:dyDescent="0.3">
      <c r="N344" t="s">
        <v>28</v>
      </c>
      <c r="O344">
        <v>56000</v>
      </c>
      <c r="Q344">
        <v>72000</v>
      </c>
      <c r="R344">
        <v>85000</v>
      </c>
    </row>
    <row r="345" spans="14:18" x14ac:dyDescent="0.3">
      <c r="N345" t="s">
        <v>28</v>
      </c>
      <c r="O345">
        <v>40700</v>
      </c>
      <c r="Q345">
        <v>88000</v>
      </c>
      <c r="R345">
        <v>70000</v>
      </c>
    </row>
    <row r="346" spans="14:18" x14ac:dyDescent="0.3">
      <c r="N346" t="s">
        <v>28</v>
      </c>
      <c r="O346">
        <v>49850</v>
      </c>
      <c r="Q346">
        <v>68000</v>
      </c>
      <c r="R346">
        <v>36000</v>
      </c>
    </row>
    <row r="347" spans="14:18" x14ac:dyDescent="0.3">
      <c r="N347" t="s">
        <v>28</v>
      </c>
      <c r="O347">
        <v>50000</v>
      </c>
      <c r="Q347">
        <v>86000</v>
      </c>
      <c r="R347">
        <v>40000</v>
      </c>
    </row>
    <row r="348" spans="14:18" x14ac:dyDescent="0.3">
      <c r="N348" t="s">
        <v>28</v>
      </c>
      <c r="O348">
        <v>64000</v>
      </c>
      <c r="Q348">
        <v>62000</v>
      </c>
      <c r="R348">
        <v>73000</v>
      </c>
    </row>
    <row r="349" spans="14:18" x14ac:dyDescent="0.3">
      <c r="N349" t="s">
        <v>28</v>
      </c>
      <c r="O349">
        <v>74000</v>
      </c>
      <c r="Q349">
        <v>36000</v>
      </c>
      <c r="R349">
        <v>74000</v>
      </c>
    </row>
    <row r="350" spans="14:18" x14ac:dyDescent="0.3">
      <c r="N350" t="s">
        <v>28</v>
      </c>
      <c r="O350">
        <v>48000</v>
      </c>
      <c r="Q350">
        <v>75000</v>
      </c>
      <c r="R350">
        <v>50000</v>
      </c>
    </row>
    <row r="351" spans="14:18" x14ac:dyDescent="0.3">
      <c r="N351" t="s">
        <v>28</v>
      </c>
      <c r="O351">
        <v>62000</v>
      </c>
      <c r="Q351">
        <v>69000</v>
      </c>
    </row>
    <row r="352" spans="14:18" x14ac:dyDescent="0.3">
      <c r="N352" t="s">
        <v>28</v>
      </c>
      <c r="O352">
        <v>70000</v>
      </c>
      <c r="Q352">
        <v>74000</v>
      </c>
      <c r="R352">
        <v>53000</v>
      </c>
    </row>
    <row r="353" spans="14:18" x14ac:dyDescent="0.3">
      <c r="N353" t="s">
        <v>28</v>
      </c>
      <c r="O353">
        <v>68500</v>
      </c>
      <c r="Q353">
        <v>60000</v>
      </c>
      <c r="R353">
        <v>75000</v>
      </c>
    </row>
    <row r="354" spans="14:18" x14ac:dyDescent="0.3">
      <c r="N354" t="s">
        <v>28</v>
      </c>
      <c r="O354">
        <v>130000</v>
      </c>
      <c r="Q354">
        <v>71750</v>
      </c>
      <c r="R354">
        <v>10001</v>
      </c>
    </row>
    <row r="355" spans="14:18" x14ac:dyDescent="0.3">
      <c r="N355" t="s">
        <v>28</v>
      </c>
      <c r="O355">
        <v>65000</v>
      </c>
      <c r="Q355">
        <v>81000</v>
      </c>
      <c r="R355">
        <v>42000</v>
      </c>
    </row>
    <row r="356" spans="14:18" x14ac:dyDescent="0.3">
      <c r="N356" t="s">
        <v>28</v>
      </c>
      <c r="O356">
        <v>50000</v>
      </c>
      <c r="Q356">
        <v>70000</v>
      </c>
      <c r="R356">
        <v>65000</v>
      </c>
    </row>
    <row r="357" spans="14:18" x14ac:dyDescent="0.3">
      <c r="N357" t="s">
        <v>28</v>
      </c>
      <c r="O357">
        <v>63000</v>
      </c>
      <c r="Q357">
        <v>65000</v>
      </c>
      <c r="R357">
        <v>56000</v>
      </c>
    </row>
    <row r="358" spans="14:18" x14ac:dyDescent="0.3">
      <c r="N358" t="s">
        <v>28</v>
      </c>
      <c r="O358">
        <v>58000</v>
      </c>
      <c r="Q358">
        <v>66000</v>
      </c>
      <c r="R358">
        <v>68000</v>
      </c>
    </row>
    <row r="359" spans="14:18" x14ac:dyDescent="0.3">
      <c r="N359" t="s">
        <v>28</v>
      </c>
      <c r="O359">
        <v>40000</v>
      </c>
      <c r="Q359">
        <v>72000</v>
      </c>
      <c r="R359">
        <v>57000</v>
      </c>
    </row>
    <row r="360" spans="14:18" x14ac:dyDescent="0.3">
      <c r="N360" t="s">
        <v>28</v>
      </c>
      <c r="O360">
        <v>45000</v>
      </c>
      <c r="Q360">
        <v>83000</v>
      </c>
      <c r="R360">
        <v>130000</v>
      </c>
    </row>
    <row r="361" spans="14:18" x14ac:dyDescent="0.3">
      <c r="N361" t="s">
        <v>28</v>
      </c>
      <c r="O361">
        <v>72000</v>
      </c>
      <c r="Q361">
        <v>85000</v>
      </c>
      <c r="R361">
        <v>71000</v>
      </c>
    </row>
    <row r="362" spans="14:18" x14ac:dyDescent="0.3">
      <c r="N362" t="s">
        <v>28</v>
      </c>
      <c r="O362">
        <v>37000</v>
      </c>
      <c r="Q362">
        <v>120000</v>
      </c>
      <c r="R362">
        <v>54000</v>
      </c>
    </row>
    <row r="363" spans="14:18" x14ac:dyDescent="0.3">
      <c r="N363" t="s">
        <v>28</v>
      </c>
      <c r="O363">
        <v>65000</v>
      </c>
      <c r="Q363">
        <v>61200</v>
      </c>
      <c r="R363">
        <v>65000</v>
      </c>
    </row>
    <row r="364" spans="14:18" x14ac:dyDescent="0.3">
      <c r="N364" t="s">
        <v>28</v>
      </c>
      <c r="O364">
        <v>55500</v>
      </c>
      <c r="Q364">
        <v>74000</v>
      </c>
      <c r="R364">
        <v>57000</v>
      </c>
    </row>
    <row r="365" spans="14:18" x14ac:dyDescent="0.3">
      <c r="N365" t="s">
        <v>28</v>
      </c>
      <c r="O365">
        <v>45000</v>
      </c>
      <c r="Q365">
        <v>64000</v>
      </c>
      <c r="R365">
        <v>28000</v>
      </c>
    </row>
    <row r="366" spans="14:18" x14ac:dyDescent="0.3">
      <c r="N366" t="s">
        <v>28</v>
      </c>
      <c r="O366">
        <v>42000</v>
      </c>
      <c r="Q366">
        <v>81200</v>
      </c>
      <c r="R366">
        <v>70000</v>
      </c>
    </row>
    <row r="367" spans="14:18" x14ac:dyDescent="0.3">
      <c r="N367" t="s">
        <v>28</v>
      </c>
      <c r="O367">
        <v>53000</v>
      </c>
      <c r="Q367">
        <v>80000</v>
      </c>
      <c r="R367">
        <v>12000</v>
      </c>
    </row>
    <row r="368" spans="14:18" x14ac:dyDescent="0.3">
      <c r="N368" t="s">
        <v>28</v>
      </c>
      <c r="O368">
        <v>53000</v>
      </c>
      <c r="Q368">
        <v>79000</v>
      </c>
      <c r="R368">
        <v>50000</v>
      </c>
    </row>
    <row r="369" spans="14:17" x14ac:dyDescent="0.3">
      <c r="N369" t="s">
        <v>28</v>
      </c>
      <c r="O369">
        <v>45000</v>
      </c>
      <c r="Q369">
        <v>65000</v>
      </c>
    </row>
    <row r="370" spans="14:17" x14ac:dyDescent="0.3">
      <c r="N370" t="s">
        <v>28</v>
      </c>
      <c r="O370">
        <v>62000</v>
      </c>
      <c r="Q370">
        <v>68000</v>
      </c>
    </row>
    <row r="371" spans="14:17" x14ac:dyDescent="0.3">
      <c r="N371" t="s">
        <v>28</v>
      </c>
      <c r="O371">
        <v>65000</v>
      </c>
      <c r="Q371">
        <v>100000</v>
      </c>
    </row>
    <row r="372" spans="14:17" x14ac:dyDescent="0.3">
      <c r="N372" t="s">
        <v>28</v>
      </c>
      <c r="O372">
        <v>70000</v>
      </c>
      <c r="Q372">
        <v>100000</v>
      </c>
    </row>
    <row r="373" spans="14:17" x14ac:dyDescent="0.3">
      <c r="N373" t="s">
        <v>28</v>
      </c>
      <c r="O373">
        <v>60000</v>
      </c>
      <c r="Q373">
        <v>85000</v>
      </c>
    </row>
    <row r="374" spans="14:17" x14ac:dyDescent="0.3">
      <c r="N374" t="s">
        <v>28</v>
      </c>
      <c r="O374">
        <v>55000</v>
      </c>
      <c r="Q374">
        <v>87000</v>
      </c>
    </row>
    <row r="375" spans="14:17" x14ac:dyDescent="0.3">
      <c r="N375" t="s">
        <v>28</v>
      </c>
      <c r="O375">
        <v>45000</v>
      </c>
      <c r="Q375">
        <v>80000</v>
      </c>
    </row>
    <row r="376" spans="14:17" x14ac:dyDescent="0.3">
      <c r="N376" t="s">
        <v>28</v>
      </c>
      <c r="O376">
        <v>77000</v>
      </c>
      <c r="Q376">
        <v>53000</v>
      </c>
    </row>
    <row r="377" spans="14:17" x14ac:dyDescent="0.3">
      <c r="N377" t="s">
        <v>28</v>
      </c>
      <c r="O377">
        <v>60000</v>
      </c>
      <c r="Q377">
        <v>130000</v>
      </c>
    </row>
    <row r="378" spans="14:17" x14ac:dyDescent="0.3">
      <c r="N378" t="s">
        <v>28</v>
      </c>
      <c r="O378">
        <v>60000</v>
      </c>
      <c r="Q378">
        <v>90000</v>
      </c>
    </row>
    <row r="379" spans="14:17" x14ac:dyDescent="0.3">
      <c r="N379" t="s">
        <v>28</v>
      </c>
      <c r="O379">
        <v>54000</v>
      </c>
      <c r="Q379">
        <v>80000</v>
      </c>
    </row>
    <row r="380" spans="14:17" x14ac:dyDescent="0.3">
      <c r="N380" t="s">
        <v>28</v>
      </c>
      <c r="O380">
        <v>57000</v>
      </c>
      <c r="Q380">
        <v>80000</v>
      </c>
    </row>
    <row r="381" spans="14:17" x14ac:dyDescent="0.3">
      <c r="N381" t="s">
        <v>28</v>
      </c>
      <c r="O381">
        <v>60000</v>
      </c>
      <c r="Q381">
        <v>85000</v>
      </c>
    </row>
    <row r="382" spans="14:17" x14ac:dyDescent="0.3">
      <c r="N382" t="s">
        <v>28</v>
      </c>
      <c r="O382">
        <v>59000</v>
      </c>
      <c r="Q382">
        <v>60000</v>
      </c>
    </row>
    <row r="383" spans="14:17" x14ac:dyDescent="0.3">
      <c r="N383" t="s">
        <v>28</v>
      </c>
      <c r="O383">
        <v>49000</v>
      </c>
      <c r="Q383">
        <v>80000</v>
      </c>
    </row>
    <row r="384" spans="14:17" x14ac:dyDescent="0.3">
      <c r="N384" t="s">
        <v>28</v>
      </c>
      <c r="O384">
        <v>62000</v>
      </c>
      <c r="Q384">
        <v>75000</v>
      </c>
    </row>
    <row r="385" spans="14:17" x14ac:dyDescent="0.3">
      <c r="N385" t="s">
        <v>28</v>
      </c>
      <c r="O385">
        <v>52800</v>
      </c>
      <c r="Q385">
        <v>67500</v>
      </c>
    </row>
    <row r="386" spans="14:17" x14ac:dyDescent="0.3">
      <c r="N386" t="s">
        <v>28</v>
      </c>
      <c r="O386">
        <v>60000</v>
      </c>
      <c r="Q386">
        <v>90000</v>
      </c>
    </row>
    <row r="387" spans="14:17" x14ac:dyDescent="0.3">
      <c r="N387" t="s">
        <v>28</v>
      </c>
      <c r="O387">
        <v>46000</v>
      </c>
      <c r="Q387">
        <v>75000</v>
      </c>
    </row>
    <row r="388" spans="14:17" x14ac:dyDescent="0.3">
      <c r="N388" t="s">
        <v>28</v>
      </c>
      <c r="O388">
        <v>44000</v>
      </c>
      <c r="Q388">
        <v>75000</v>
      </c>
    </row>
    <row r="389" spans="14:17" x14ac:dyDescent="0.3">
      <c r="N389" t="s">
        <v>28</v>
      </c>
      <c r="O389">
        <v>48000</v>
      </c>
      <c r="Q389">
        <v>85000</v>
      </c>
    </row>
    <row r="390" spans="14:17" x14ac:dyDescent="0.3">
      <c r="N390" t="s">
        <v>28</v>
      </c>
      <c r="O390">
        <v>68000</v>
      </c>
      <c r="Q390">
        <v>78000</v>
      </c>
    </row>
    <row r="391" spans="14:17" x14ac:dyDescent="0.3">
      <c r="N391" t="s">
        <v>28</v>
      </c>
      <c r="O391">
        <v>45000</v>
      </c>
      <c r="Q391">
        <v>105000</v>
      </c>
    </row>
    <row r="392" spans="14:17" x14ac:dyDescent="0.3">
      <c r="N392" t="s">
        <v>28</v>
      </c>
      <c r="O392">
        <v>75000</v>
      </c>
      <c r="Q392">
        <v>65000</v>
      </c>
    </row>
    <row r="393" spans="14:17" x14ac:dyDescent="0.3">
      <c r="N393" t="s">
        <v>28</v>
      </c>
      <c r="O393">
        <v>52000</v>
      </c>
      <c r="Q393">
        <v>75000</v>
      </c>
    </row>
    <row r="394" spans="14:17" x14ac:dyDescent="0.3">
      <c r="N394" t="s">
        <v>28</v>
      </c>
      <c r="O394">
        <v>65000</v>
      </c>
      <c r="Q394">
        <v>58000</v>
      </c>
    </row>
    <row r="395" spans="14:17" x14ac:dyDescent="0.3">
      <c r="N395" t="s">
        <v>28</v>
      </c>
      <c r="O395">
        <v>55000</v>
      </c>
      <c r="Q395">
        <v>71000</v>
      </c>
    </row>
    <row r="396" spans="14:17" x14ac:dyDescent="0.3">
      <c r="N396" t="s">
        <v>28</v>
      </c>
      <c r="O396">
        <v>74000</v>
      </c>
      <c r="Q396">
        <v>105000</v>
      </c>
    </row>
    <row r="397" spans="14:17" x14ac:dyDescent="0.3">
      <c r="N397" t="s">
        <v>28</v>
      </c>
      <c r="O397">
        <v>55000</v>
      </c>
      <c r="Q397">
        <v>79000</v>
      </c>
    </row>
    <row r="398" spans="14:17" x14ac:dyDescent="0.3">
      <c r="N398" t="s">
        <v>28</v>
      </c>
      <c r="O398">
        <v>66000</v>
      </c>
      <c r="Q398">
        <v>60000</v>
      </c>
    </row>
    <row r="399" spans="14:17" x14ac:dyDescent="0.3">
      <c r="N399" t="s">
        <v>28</v>
      </c>
      <c r="O399">
        <v>74000</v>
      </c>
      <c r="Q399">
        <v>95000</v>
      </c>
    </row>
    <row r="400" spans="14:17" x14ac:dyDescent="0.3">
      <c r="N400" t="s">
        <v>28</v>
      </c>
      <c r="O400">
        <v>54000</v>
      </c>
      <c r="Q400">
        <v>90000</v>
      </c>
    </row>
    <row r="401" spans="14:17" x14ac:dyDescent="0.3">
      <c r="N401" t="s">
        <v>28</v>
      </c>
      <c r="O401">
        <v>65000</v>
      </c>
      <c r="Q401">
        <v>75000</v>
      </c>
    </row>
    <row r="402" spans="14:17" x14ac:dyDescent="0.3">
      <c r="N402" t="s">
        <v>28</v>
      </c>
      <c r="O402">
        <v>60000</v>
      </c>
      <c r="Q402">
        <v>103000</v>
      </c>
    </row>
    <row r="403" spans="14:17" x14ac:dyDescent="0.3">
      <c r="N403" t="s">
        <v>28</v>
      </c>
      <c r="O403">
        <v>63000</v>
      </c>
      <c r="Q403">
        <v>75000</v>
      </c>
    </row>
    <row r="404" spans="14:17" x14ac:dyDescent="0.3">
      <c r="N404" t="s">
        <v>28</v>
      </c>
      <c r="O404">
        <v>66500</v>
      </c>
      <c r="Q404">
        <v>65000</v>
      </c>
    </row>
    <row r="405" spans="14:17" x14ac:dyDescent="0.3">
      <c r="N405" t="s">
        <v>28</v>
      </c>
      <c r="O405">
        <v>71000</v>
      </c>
      <c r="Q405">
        <v>85000</v>
      </c>
    </row>
    <row r="406" spans="14:17" x14ac:dyDescent="0.3">
      <c r="N406" t="s">
        <v>28</v>
      </c>
      <c r="O406">
        <v>70000</v>
      </c>
      <c r="Q406">
        <v>108000</v>
      </c>
    </row>
    <row r="407" spans="14:17" x14ac:dyDescent="0.3">
      <c r="N407" t="s">
        <v>28</v>
      </c>
      <c r="O407">
        <v>44000</v>
      </c>
      <c r="Q407">
        <v>80000</v>
      </c>
    </row>
    <row r="408" spans="14:17" x14ac:dyDescent="0.3">
      <c r="N408" t="s">
        <v>28</v>
      </c>
      <c r="O408">
        <v>55000</v>
      </c>
      <c r="Q408">
        <v>81000</v>
      </c>
    </row>
    <row r="409" spans="14:17" x14ac:dyDescent="0.3">
      <c r="N409" t="s">
        <v>28</v>
      </c>
      <c r="O409">
        <v>71000</v>
      </c>
      <c r="Q409">
        <v>77000</v>
      </c>
    </row>
    <row r="410" spans="14:17" x14ac:dyDescent="0.3">
      <c r="N410" t="s">
        <v>28</v>
      </c>
      <c r="O410">
        <v>38350</v>
      </c>
      <c r="Q410">
        <v>76000</v>
      </c>
    </row>
    <row r="411" spans="14:17" x14ac:dyDescent="0.3">
      <c r="N411" t="s">
        <v>28</v>
      </c>
      <c r="O411">
        <v>63000</v>
      </c>
      <c r="Q411">
        <v>65000</v>
      </c>
    </row>
    <row r="412" spans="14:17" x14ac:dyDescent="0.3">
      <c r="N412" t="s">
        <v>28</v>
      </c>
      <c r="O412">
        <v>90000</v>
      </c>
      <c r="Q412">
        <v>75000</v>
      </c>
    </row>
    <row r="413" spans="14:17" x14ac:dyDescent="0.3">
      <c r="N413" t="s">
        <v>28</v>
      </c>
      <c r="O413">
        <v>65000</v>
      </c>
      <c r="Q413">
        <v>70000</v>
      </c>
    </row>
    <row r="414" spans="14:17" x14ac:dyDescent="0.3">
      <c r="N414" t="s">
        <v>28</v>
      </c>
      <c r="O414">
        <v>60000</v>
      </c>
      <c r="Q414">
        <v>70000</v>
      </c>
    </row>
    <row r="415" spans="14:17" x14ac:dyDescent="0.3">
      <c r="N415" t="s">
        <v>28</v>
      </c>
      <c r="O415">
        <v>69000</v>
      </c>
      <c r="Q415">
        <v>67500</v>
      </c>
    </row>
    <row r="416" spans="14:17" x14ac:dyDescent="0.3">
      <c r="N416" t="s">
        <v>28</v>
      </c>
      <c r="O416">
        <v>60000</v>
      </c>
      <c r="Q416">
        <v>75000</v>
      </c>
    </row>
    <row r="417" spans="14:17" x14ac:dyDescent="0.3">
      <c r="N417" t="s">
        <v>28</v>
      </c>
      <c r="O417">
        <v>60000</v>
      </c>
      <c r="Q417">
        <v>70000</v>
      </c>
    </row>
    <row r="418" spans="14:17" x14ac:dyDescent="0.3">
      <c r="N418" t="s">
        <v>28</v>
      </c>
      <c r="O418">
        <v>32000</v>
      </c>
      <c r="Q418">
        <v>110000</v>
      </c>
    </row>
    <row r="419" spans="14:17" x14ac:dyDescent="0.3">
      <c r="N419" t="s">
        <v>28</v>
      </c>
      <c r="O419">
        <v>44000</v>
      </c>
      <c r="Q419">
        <v>65000</v>
      </c>
    </row>
    <row r="420" spans="14:17" x14ac:dyDescent="0.3">
      <c r="N420" t="s">
        <v>28</v>
      </c>
      <c r="O420">
        <v>48000</v>
      </c>
      <c r="Q420">
        <v>70000</v>
      </c>
    </row>
    <row r="421" spans="14:17" x14ac:dyDescent="0.3">
      <c r="N421" t="s">
        <v>28</v>
      </c>
      <c r="O421">
        <v>51000</v>
      </c>
      <c r="Q421">
        <v>70000</v>
      </c>
    </row>
    <row r="422" spans="14:17" x14ac:dyDescent="0.3">
      <c r="N422" t="s">
        <v>28</v>
      </c>
      <c r="O422">
        <v>54000</v>
      </c>
      <c r="Q422">
        <v>77000</v>
      </c>
    </row>
    <row r="423" spans="14:17" x14ac:dyDescent="0.3">
      <c r="N423" t="s">
        <v>28</v>
      </c>
      <c r="O423">
        <v>72000</v>
      </c>
      <c r="Q423">
        <v>80000</v>
      </c>
    </row>
    <row r="424" spans="14:17" x14ac:dyDescent="0.3">
      <c r="N424" t="s">
        <v>28</v>
      </c>
      <c r="O424">
        <v>48000</v>
      </c>
      <c r="Q424">
        <v>65000</v>
      </c>
    </row>
    <row r="425" spans="14:17" x14ac:dyDescent="0.3">
      <c r="N425" t="s">
        <v>28</v>
      </c>
      <c r="O425">
        <v>60000</v>
      </c>
      <c r="Q425">
        <v>75000</v>
      </c>
    </row>
    <row r="426" spans="14:17" x14ac:dyDescent="0.3">
      <c r="N426" t="s">
        <v>28</v>
      </c>
      <c r="O426">
        <v>54000</v>
      </c>
      <c r="Q426">
        <v>78600</v>
      </c>
    </row>
    <row r="427" spans="14:17" x14ac:dyDescent="0.3">
      <c r="N427" t="s">
        <v>28</v>
      </c>
      <c r="O427">
        <v>56000</v>
      </c>
      <c r="Q427">
        <v>102000</v>
      </c>
    </row>
    <row r="428" spans="14:17" x14ac:dyDescent="0.3">
      <c r="N428" t="s">
        <v>28</v>
      </c>
      <c r="O428">
        <v>47400</v>
      </c>
      <c r="Q428">
        <v>61000</v>
      </c>
    </row>
    <row r="429" spans="14:17" x14ac:dyDescent="0.3">
      <c r="N429" t="s">
        <v>28</v>
      </c>
      <c r="O429">
        <v>45000</v>
      </c>
      <c r="Q429">
        <v>74400</v>
      </c>
    </row>
    <row r="430" spans="14:17" x14ac:dyDescent="0.3">
      <c r="N430" t="s">
        <v>28</v>
      </c>
      <c r="O430">
        <v>45000</v>
      </c>
      <c r="Q430">
        <v>70500</v>
      </c>
    </row>
    <row r="431" spans="14:17" x14ac:dyDescent="0.3">
      <c r="N431" t="s">
        <v>28</v>
      </c>
      <c r="O431">
        <v>80000</v>
      </c>
      <c r="Q431">
        <v>57000</v>
      </c>
    </row>
    <row r="432" spans="14:17" x14ac:dyDescent="0.3">
      <c r="N432" t="s">
        <v>28</v>
      </c>
      <c r="O432">
        <v>65000</v>
      </c>
      <c r="Q432">
        <v>75000</v>
      </c>
    </row>
    <row r="433" spans="14:17" x14ac:dyDescent="0.3">
      <c r="N433" t="s">
        <v>28</v>
      </c>
      <c r="O433">
        <v>58000</v>
      </c>
      <c r="Q433">
        <v>85000</v>
      </c>
    </row>
    <row r="434" spans="14:17" x14ac:dyDescent="0.3">
      <c r="N434" t="s">
        <v>28</v>
      </c>
      <c r="O434">
        <v>61500</v>
      </c>
      <c r="Q434">
        <v>75000</v>
      </c>
    </row>
    <row r="435" spans="14:17" x14ac:dyDescent="0.3">
      <c r="N435" t="s">
        <v>28</v>
      </c>
      <c r="O435">
        <v>65000</v>
      </c>
      <c r="Q435">
        <v>60000</v>
      </c>
    </row>
    <row r="436" spans="14:17" x14ac:dyDescent="0.3">
      <c r="N436" t="s">
        <v>28</v>
      </c>
      <c r="O436">
        <v>62000</v>
      </c>
      <c r="Q436">
        <v>74000</v>
      </c>
    </row>
    <row r="437" spans="14:17" x14ac:dyDescent="0.3">
      <c r="N437" t="s">
        <v>28</v>
      </c>
      <c r="O437">
        <v>66000</v>
      </c>
      <c r="Q437">
        <v>60000</v>
      </c>
    </row>
    <row r="438" spans="14:17" x14ac:dyDescent="0.3">
      <c r="N438" t="s">
        <v>28</v>
      </c>
      <c r="O438">
        <v>75000</v>
      </c>
      <c r="Q438">
        <v>62000</v>
      </c>
    </row>
    <row r="439" spans="14:17" x14ac:dyDescent="0.3">
      <c r="N439" t="s">
        <v>28</v>
      </c>
      <c r="O439">
        <v>58000</v>
      </c>
      <c r="Q439">
        <v>100000</v>
      </c>
    </row>
    <row r="440" spans="14:17" x14ac:dyDescent="0.3">
      <c r="N440" t="s">
        <v>28</v>
      </c>
      <c r="O440">
        <v>68000</v>
      </c>
      <c r="Q440">
        <v>80000</v>
      </c>
    </row>
    <row r="441" spans="14:17" x14ac:dyDescent="0.3">
      <c r="N441" t="s">
        <v>28</v>
      </c>
      <c r="O441">
        <v>73700</v>
      </c>
      <c r="Q441">
        <v>63000</v>
      </c>
    </row>
    <row r="442" spans="14:17" x14ac:dyDescent="0.3">
      <c r="N442" t="s">
        <v>28</v>
      </c>
      <c r="O442">
        <v>77500</v>
      </c>
      <c r="Q442">
        <v>70000</v>
      </c>
    </row>
    <row r="443" spans="14:17" x14ac:dyDescent="0.3">
      <c r="N443" t="s">
        <v>28</v>
      </c>
      <c r="O443">
        <v>82000</v>
      </c>
      <c r="Q443">
        <v>75000</v>
      </c>
    </row>
    <row r="444" spans="14:17" x14ac:dyDescent="0.3">
      <c r="N444" t="s">
        <v>28</v>
      </c>
      <c r="O444">
        <v>80000</v>
      </c>
      <c r="Q444">
        <v>78000</v>
      </c>
    </row>
    <row r="445" spans="14:17" x14ac:dyDescent="0.3">
      <c r="N445" t="s">
        <v>28</v>
      </c>
      <c r="O445">
        <v>85000</v>
      </c>
      <c r="Q445">
        <v>70000</v>
      </c>
    </row>
    <row r="446" spans="14:17" x14ac:dyDescent="0.3">
      <c r="N446" t="s">
        <v>28</v>
      </c>
      <c r="O446">
        <v>67000</v>
      </c>
      <c r="Q446">
        <v>75000</v>
      </c>
    </row>
    <row r="447" spans="14:17" x14ac:dyDescent="0.3">
      <c r="N447" t="s">
        <v>28</v>
      </c>
      <c r="O447">
        <v>70000</v>
      </c>
      <c r="Q447">
        <v>87550</v>
      </c>
    </row>
    <row r="448" spans="14:17" x14ac:dyDescent="0.3">
      <c r="N448" t="s">
        <v>28</v>
      </c>
      <c r="O448">
        <v>70000</v>
      </c>
      <c r="Q448">
        <v>82000</v>
      </c>
    </row>
    <row r="449" spans="14:17" x14ac:dyDescent="0.3">
      <c r="N449" t="s">
        <v>28</v>
      </c>
      <c r="O449">
        <v>58000</v>
      </c>
      <c r="Q449">
        <v>110000</v>
      </c>
    </row>
    <row r="450" spans="14:17" x14ac:dyDescent="0.3">
      <c r="N450" t="s">
        <v>28</v>
      </c>
      <c r="O450">
        <v>55000</v>
      </c>
      <c r="Q450">
        <v>70000</v>
      </c>
    </row>
    <row r="451" spans="14:17" x14ac:dyDescent="0.3">
      <c r="N451" t="s">
        <v>28</v>
      </c>
      <c r="O451">
        <v>64000</v>
      </c>
      <c r="Q451">
        <v>65000</v>
      </c>
    </row>
    <row r="452" spans="14:17" x14ac:dyDescent="0.3">
      <c r="N452" t="s">
        <v>28</v>
      </c>
      <c r="O452">
        <v>55000</v>
      </c>
      <c r="Q452">
        <v>68000</v>
      </c>
    </row>
    <row r="453" spans="14:17" x14ac:dyDescent="0.3">
      <c r="N453" t="s">
        <v>28</v>
      </c>
      <c r="O453">
        <v>66000</v>
      </c>
      <c r="Q453">
        <v>80000</v>
      </c>
    </row>
    <row r="454" spans="14:17" x14ac:dyDescent="0.3">
      <c r="N454" t="s">
        <v>28</v>
      </c>
      <c r="O454">
        <v>65000</v>
      </c>
      <c r="Q454">
        <v>64000</v>
      </c>
    </row>
    <row r="455" spans="14:17" x14ac:dyDescent="0.3">
      <c r="N455" t="s">
        <v>28</v>
      </c>
      <c r="O455">
        <v>72000</v>
      </c>
      <c r="Q455">
        <v>82000</v>
      </c>
    </row>
    <row r="456" spans="14:17" x14ac:dyDescent="0.3">
      <c r="N456" t="s">
        <v>28</v>
      </c>
      <c r="O456">
        <v>60000</v>
      </c>
      <c r="Q456">
        <v>60000</v>
      </c>
    </row>
    <row r="457" spans="14:17" x14ac:dyDescent="0.3">
      <c r="N457" t="s">
        <v>28</v>
      </c>
      <c r="O457">
        <v>69200</v>
      </c>
      <c r="Q457">
        <v>75000</v>
      </c>
    </row>
    <row r="458" spans="14:17" x14ac:dyDescent="0.3">
      <c r="N458" t="s">
        <v>28</v>
      </c>
      <c r="O458">
        <v>40800</v>
      </c>
      <c r="Q458">
        <v>80000</v>
      </c>
    </row>
    <row r="459" spans="14:17" x14ac:dyDescent="0.3">
      <c r="N459" t="s">
        <v>28</v>
      </c>
      <c r="O459">
        <v>50000</v>
      </c>
      <c r="Q459">
        <v>72000</v>
      </c>
    </row>
    <row r="460" spans="14:17" x14ac:dyDescent="0.3">
      <c r="N460" t="s">
        <v>28</v>
      </c>
      <c r="O460">
        <v>64000</v>
      </c>
      <c r="Q460">
        <v>75000</v>
      </c>
    </row>
    <row r="461" spans="14:17" x14ac:dyDescent="0.3">
      <c r="N461" t="s">
        <v>28</v>
      </c>
      <c r="O461">
        <v>54500</v>
      </c>
      <c r="Q461">
        <v>75000</v>
      </c>
    </row>
    <row r="462" spans="14:17" x14ac:dyDescent="0.3">
      <c r="N462" t="s">
        <v>28</v>
      </c>
      <c r="O462">
        <v>60000</v>
      </c>
      <c r="Q462">
        <v>75000</v>
      </c>
    </row>
    <row r="463" spans="14:17" x14ac:dyDescent="0.3">
      <c r="N463" t="s">
        <v>28</v>
      </c>
      <c r="O463">
        <v>45000</v>
      </c>
      <c r="Q463">
        <v>80000</v>
      </c>
    </row>
    <row r="464" spans="14:17" x14ac:dyDescent="0.3">
      <c r="N464" t="s">
        <v>28</v>
      </c>
      <c r="O464">
        <v>60000</v>
      </c>
      <c r="Q464">
        <v>75000</v>
      </c>
    </row>
    <row r="465" spans="14:17" x14ac:dyDescent="0.3">
      <c r="N465" t="s">
        <v>28</v>
      </c>
      <c r="O465">
        <v>50000</v>
      </c>
      <c r="Q465">
        <v>60000</v>
      </c>
    </row>
    <row r="466" spans="14:17" x14ac:dyDescent="0.3">
      <c r="N466" t="s">
        <v>28</v>
      </c>
      <c r="O466">
        <v>56000</v>
      </c>
      <c r="Q466">
        <v>75000</v>
      </c>
    </row>
    <row r="467" spans="14:17" x14ac:dyDescent="0.3">
      <c r="N467" t="s">
        <v>28</v>
      </c>
      <c r="O467">
        <v>54000</v>
      </c>
      <c r="Q467">
        <v>82000</v>
      </c>
    </row>
    <row r="468" spans="14:17" x14ac:dyDescent="0.3">
      <c r="N468" t="s">
        <v>28</v>
      </c>
      <c r="O468">
        <v>68000</v>
      </c>
      <c r="Q468">
        <v>68000</v>
      </c>
    </row>
    <row r="469" spans="14:17" x14ac:dyDescent="0.3">
      <c r="N469" t="s">
        <v>28</v>
      </c>
      <c r="O469">
        <v>70000</v>
      </c>
      <c r="Q469">
        <v>67000</v>
      </c>
    </row>
    <row r="470" spans="14:17" x14ac:dyDescent="0.3">
      <c r="N470" t="s">
        <v>28</v>
      </c>
      <c r="O470">
        <v>63000</v>
      </c>
      <c r="Q470">
        <v>70000</v>
      </c>
    </row>
    <row r="471" spans="14:17" x14ac:dyDescent="0.3">
      <c r="N471" t="s">
        <v>28</v>
      </c>
      <c r="O471">
        <v>65000</v>
      </c>
      <c r="Q471">
        <v>56000</v>
      </c>
    </row>
    <row r="472" spans="14:17" x14ac:dyDescent="0.3">
      <c r="N472" t="s">
        <v>28</v>
      </c>
      <c r="O472">
        <v>63000</v>
      </c>
      <c r="Q472">
        <v>58000</v>
      </c>
    </row>
    <row r="473" spans="14:17" x14ac:dyDescent="0.3">
      <c r="N473" t="s">
        <v>28</v>
      </c>
      <c r="O473">
        <v>51000</v>
      </c>
      <c r="Q473">
        <v>64000</v>
      </c>
    </row>
    <row r="474" spans="14:17" x14ac:dyDescent="0.3">
      <c r="N474" t="s">
        <v>28</v>
      </c>
      <c r="O474">
        <v>60000</v>
      </c>
      <c r="Q474">
        <v>63000</v>
      </c>
    </row>
    <row r="475" spans="14:17" x14ac:dyDescent="0.3">
      <c r="N475" t="s">
        <v>28</v>
      </c>
      <c r="O475">
        <v>72000</v>
      </c>
      <c r="Q475">
        <v>78000</v>
      </c>
    </row>
    <row r="476" spans="14:17" x14ac:dyDescent="0.3">
      <c r="N476" t="s">
        <v>28</v>
      </c>
      <c r="O476">
        <v>45000</v>
      </c>
      <c r="Q476">
        <v>80000</v>
      </c>
    </row>
    <row r="477" spans="14:17" x14ac:dyDescent="0.3">
      <c r="N477" t="s">
        <v>28</v>
      </c>
      <c r="O477">
        <v>49000</v>
      </c>
      <c r="Q477">
        <v>78500</v>
      </c>
    </row>
    <row r="478" spans="14:17" x14ac:dyDescent="0.3">
      <c r="N478" t="s">
        <v>28</v>
      </c>
      <c r="O478">
        <v>42000</v>
      </c>
      <c r="Q478">
        <v>70000</v>
      </c>
    </row>
    <row r="479" spans="14:17" x14ac:dyDescent="0.3">
      <c r="N479" t="s">
        <v>28</v>
      </c>
      <c r="O479">
        <v>46000</v>
      </c>
      <c r="Q479">
        <v>70000</v>
      </c>
    </row>
    <row r="480" spans="14:17" x14ac:dyDescent="0.3">
      <c r="N480" t="s">
        <v>28</v>
      </c>
      <c r="O480">
        <v>13000</v>
      </c>
      <c r="Q480">
        <v>76000</v>
      </c>
    </row>
    <row r="481" spans="14:17" x14ac:dyDescent="0.3">
      <c r="N481" t="s">
        <v>28</v>
      </c>
      <c r="O481">
        <v>59000</v>
      </c>
      <c r="Q481">
        <v>70000</v>
      </c>
    </row>
    <row r="482" spans="14:17" x14ac:dyDescent="0.3">
      <c r="N482" t="s">
        <v>28</v>
      </c>
      <c r="O482">
        <v>62000</v>
      </c>
      <c r="Q482">
        <v>73000</v>
      </c>
    </row>
    <row r="483" spans="14:17" x14ac:dyDescent="0.3">
      <c r="N483" t="s">
        <v>28</v>
      </c>
      <c r="O483">
        <v>43000</v>
      </c>
      <c r="Q483">
        <v>74000</v>
      </c>
    </row>
    <row r="484" spans="14:17" x14ac:dyDescent="0.3">
      <c r="N484" t="s">
        <v>28</v>
      </c>
      <c r="O484">
        <v>54000</v>
      </c>
      <c r="Q484">
        <v>82000</v>
      </c>
    </row>
    <row r="485" spans="14:17" x14ac:dyDescent="0.3">
      <c r="N485" t="s">
        <v>28</v>
      </c>
      <c r="O485">
        <v>42000</v>
      </c>
      <c r="Q485">
        <v>80000</v>
      </c>
    </row>
    <row r="486" spans="14:17" x14ac:dyDescent="0.3">
      <c r="N486" t="s">
        <v>28</v>
      </c>
      <c r="O486">
        <v>65000</v>
      </c>
      <c r="Q486">
        <v>80000</v>
      </c>
    </row>
    <row r="487" spans="14:17" x14ac:dyDescent="0.3">
      <c r="N487" t="s">
        <v>28</v>
      </c>
      <c r="O487">
        <v>48000</v>
      </c>
      <c r="Q487">
        <v>80000</v>
      </c>
    </row>
    <row r="488" spans="14:17" x14ac:dyDescent="0.3">
      <c r="N488" t="s">
        <v>28</v>
      </c>
      <c r="O488">
        <v>40000</v>
      </c>
      <c r="Q488">
        <v>64000</v>
      </c>
    </row>
    <row r="489" spans="14:17" x14ac:dyDescent="0.3">
      <c r="N489" t="s">
        <v>28</v>
      </c>
      <c r="O489">
        <v>34000</v>
      </c>
      <c r="Q489">
        <v>55000</v>
      </c>
    </row>
    <row r="490" spans="14:17" x14ac:dyDescent="0.3">
      <c r="N490" t="s">
        <v>28</v>
      </c>
      <c r="O490">
        <v>57000</v>
      </c>
      <c r="Q490">
        <v>85000</v>
      </c>
    </row>
    <row r="491" spans="14:17" x14ac:dyDescent="0.3">
      <c r="N491" t="s">
        <v>28</v>
      </c>
      <c r="O491">
        <v>50400</v>
      </c>
      <c r="Q491">
        <v>83000</v>
      </c>
    </row>
    <row r="492" spans="14:17" x14ac:dyDescent="0.3">
      <c r="N492" t="s">
        <v>28</v>
      </c>
      <c r="O492">
        <v>53500</v>
      </c>
      <c r="Q492">
        <v>72000</v>
      </c>
    </row>
    <row r="493" spans="14:17" x14ac:dyDescent="0.3">
      <c r="N493" t="s">
        <v>28</v>
      </c>
      <c r="O493">
        <v>63700</v>
      </c>
      <c r="Q493">
        <v>60000</v>
      </c>
    </row>
    <row r="494" spans="14:17" x14ac:dyDescent="0.3">
      <c r="N494" t="s">
        <v>28</v>
      </c>
      <c r="O494">
        <v>75000</v>
      </c>
      <c r="Q494">
        <v>67000</v>
      </c>
    </row>
    <row r="495" spans="14:17" x14ac:dyDescent="0.3">
      <c r="N495" t="s">
        <v>28</v>
      </c>
      <c r="O495">
        <v>67000</v>
      </c>
      <c r="Q495">
        <v>48000</v>
      </c>
    </row>
    <row r="496" spans="14:17" x14ac:dyDescent="0.3">
      <c r="N496" t="s">
        <v>28</v>
      </c>
      <c r="O496">
        <v>70000</v>
      </c>
      <c r="Q496">
        <v>68000</v>
      </c>
    </row>
    <row r="497" spans="14:17" x14ac:dyDescent="0.3">
      <c r="N497" t="s">
        <v>28</v>
      </c>
      <c r="O497">
        <v>55200</v>
      </c>
      <c r="Q497">
        <v>90000</v>
      </c>
    </row>
    <row r="498" spans="14:17" x14ac:dyDescent="0.3">
      <c r="N498" t="s">
        <v>28</v>
      </c>
      <c r="O498">
        <v>56000</v>
      </c>
      <c r="Q498">
        <v>80000</v>
      </c>
    </row>
    <row r="499" spans="14:17" x14ac:dyDescent="0.3">
      <c r="N499" t="s">
        <v>28</v>
      </c>
      <c r="O499">
        <v>51000</v>
      </c>
      <c r="Q499">
        <v>60000</v>
      </c>
    </row>
    <row r="500" spans="14:17" x14ac:dyDescent="0.3">
      <c r="N500" t="s">
        <v>28</v>
      </c>
      <c r="O500">
        <v>61500</v>
      </c>
      <c r="Q500">
        <v>59000</v>
      </c>
    </row>
    <row r="501" spans="14:17" x14ac:dyDescent="0.3">
      <c r="N501" t="s">
        <v>28</v>
      </c>
      <c r="O501">
        <v>50000</v>
      </c>
      <c r="Q501">
        <v>46000</v>
      </c>
    </row>
    <row r="502" spans="14:17" x14ac:dyDescent="0.3">
      <c r="N502" t="s">
        <v>28</v>
      </c>
      <c r="O502">
        <v>52500</v>
      </c>
      <c r="Q502">
        <v>45600</v>
      </c>
    </row>
    <row r="503" spans="14:17" x14ac:dyDescent="0.3">
      <c r="N503" t="s">
        <v>28</v>
      </c>
      <c r="O503">
        <v>63000</v>
      </c>
      <c r="Q503">
        <v>120000</v>
      </c>
    </row>
    <row r="504" spans="14:17" x14ac:dyDescent="0.3">
      <c r="N504" t="s">
        <v>28</v>
      </c>
      <c r="O504">
        <v>72000</v>
      </c>
      <c r="Q504">
        <v>45000</v>
      </c>
    </row>
    <row r="505" spans="14:17" x14ac:dyDescent="0.3">
      <c r="N505" t="s">
        <v>28</v>
      </c>
      <c r="O505">
        <v>51000</v>
      </c>
      <c r="Q505">
        <v>30000</v>
      </c>
    </row>
    <row r="506" spans="14:17" x14ac:dyDescent="0.3">
      <c r="N506" t="s">
        <v>28</v>
      </c>
      <c r="O506">
        <v>75000</v>
      </c>
      <c r="Q506">
        <v>56000</v>
      </c>
    </row>
    <row r="507" spans="14:17" x14ac:dyDescent="0.3">
      <c r="N507" t="s">
        <v>28</v>
      </c>
      <c r="O507">
        <v>55000</v>
      </c>
      <c r="Q507">
        <v>70000</v>
      </c>
    </row>
    <row r="508" spans="14:17" x14ac:dyDescent="0.3">
      <c r="N508" t="s">
        <v>28</v>
      </c>
      <c r="O508">
        <v>57760</v>
      </c>
      <c r="Q508">
        <v>80000</v>
      </c>
    </row>
    <row r="509" spans="14:17" x14ac:dyDescent="0.3">
      <c r="N509" t="s">
        <v>28</v>
      </c>
      <c r="O509">
        <v>54500</v>
      </c>
      <c r="Q509">
        <v>86000</v>
      </c>
    </row>
    <row r="510" spans="14:17" x14ac:dyDescent="0.3">
      <c r="N510" t="s">
        <v>28</v>
      </c>
      <c r="O510">
        <v>58000</v>
      </c>
      <c r="Q510">
        <v>70000</v>
      </c>
    </row>
    <row r="511" spans="14:17" x14ac:dyDescent="0.3">
      <c r="N511" t="s">
        <v>28</v>
      </c>
      <c r="O511">
        <v>68000</v>
      </c>
      <c r="Q511">
        <v>90000</v>
      </c>
    </row>
    <row r="512" spans="14:17" x14ac:dyDescent="0.3">
      <c r="N512" t="s">
        <v>28</v>
      </c>
      <c r="O512">
        <v>47745</v>
      </c>
      <c r="Q512">
        <v>100000</v>
      </c>
    </row>
    <row r="513" spans="14:17" x14ac:dyDescent="0.3">
      <c r="N513" t="s">
        <v>28</v>
      </c>
      <c r="O513">
        <v>100000</v>
      </c>
      <c r="Q513">
        <v>82000</v>
      </c>
    </row>
    <row r="514" spans="14:17" x14ac:dyDescent="0.3">
      <c r="N514" t="s">
        <v>28</v>
      </c>
      <c r="O514">
        <v>54000</v>
      </c>
      <c r="Q514">
        <v>65000</v>
      </c>
    </row>
    <row r="515" spans="14:17" x14ac:dyDescent="0.3">
      <c r="N515" t="s">
        <v>28</v>
      </c>
      <c r="O515">
        <v>88000</v>
      </c>
      <c r="Q515">
        <v>123600</v>
      </c>
    </row>
    <row r="516" spans="14:17" x14ac:dyDescent="0.3">
      <c r="N516" t="s">
        <v>28</v>
      </c>
      <c r="O516">
        <v>58000</v>
      </c>
      <c r="Q516">
        <v>90000</v>
      </c>
    </row>
    <row r="517" spans="14:17" x14ac:dyDescent="0.3">
      <c r="N517" t="s">
        <v>28</v>
      </c>
      <c r="O517">
        <v>79000</v>
      </c>
      <c r="Q517">
        <v>58800</v>
      </c>
    </row>
    <row r="518" spans="14:17" x14ac:dyDescent="0.3">
      <c r="N518" t="s">
        <v>28</v>
      </c>
      <c r="O518">
        <v>92500</v>
      </c>
      <c r="Q518">
        <v>72000</v>
      </c>
    </row>
    <row r="519" spans="14:17" x14ac:dyDescent="0.3">
      <c r="N519" t="s">
        <v>28</v>
      </c>
      <c r="O519">
        <v>70000</v>
      </c>
    </row>
    <row r="520" spans="14:17" x14ac:dyDescent="0.3">
      <c r="N520" t="s">
        <v>28</v>
      </c>
      <c r="O520">
        <v>65000</v>
      </c>
      <c r="Q520">
        <v>75000</v>
      </c>
    </row>
    <row r="521" spans="14:17" x14ac:dyDescent="0.3">
      <c r="N521" t="s">
        <v>28</v>
      </c>
      <c r="O521">
        <v>65000</v>
      </c>
      <c r="Q521">
        <v>72000</v>
      </c>
    </row>
    <row r="522" spans="14:17" x14ac:dyDescent="0.3">
      <c r="N522" t="s">
        <v>28</v>
      </c>
      <c r="O522">
        <v>72000</v>
      </c>
      <c r="Q522">
        <v>90000</v>
      </c>
    </row>
    <row r="523" spans="14:17" x14ac:dyDescent="0.3">
      <c r="N523" t="s">
        <v>28</v>
      </c>
      <c r="O523">
        <v>80000</v>
      </c>
      <c r="Q523">
        <v>60000</v>
      </c>
    </row>
    <row r="524" spans="14:17" x14ac:dyDescent="0.3">
      <c r="N524" t="s">
        <v>28</v>
      </c>
      <c r="O524">
        <v>60000</v>
      </c>
      <c r="Q524">
        <v>99000</v>
      </c>
    </row>
    <row r="525" spans="14:17" x14ac:dyDescent="0.3">
      <c r="N525" t="s">
        <v>28</v>
      </c>
      <c r="O525">
        <v>68000</v>
      </c>
      <c r="Q525">
        <v>68000</v>
      </c>
    </row>
    <row r="526" spans="14:17" x14ac:dyDescent="0.3">
      <c r="N526" t="s">
        <v>28</v>
      </c>
      <c r="O526">
        <v>53000</v>
      </c>
      <c r="Q526">
        <v>80000</v>
      </c>
    </row>
    <row r="527" spans="14:17" x14ac:dyDescent="0.3">
      <c r="N527" t="s">
        <v>28</v>
      </c>
      <c r="O527">
        <v>67000</v>
      </c>
      <c r="Q527">
        <v>180000</v>
      </c>
    </row>
    <row r="528" spans="14:17" x14ac:dyDescent="0.3">
      <c r="N528" t="s">
        <v>28</v>
      </c>
      <c r="O528">
        <v>95000</v>
      </c>
      <c r="Q528">
        <v>60000</v>
      </c>
    </row>
    <row r="529" spans="14:17" x14ac:dyDescent="0.3">
      <c r="N529" t="s">
        <v>28</v>
      </c>
      <c r="O529">
        <v>82000</v>
      </c>
      <c r="Q529">
        <v>105000</v>
      </c>
    </row>
    <row r="530" spans="14:17" x14ac:dyDescent="0.3">
      <c r="N530" t="s">
        <v>28</v>
      </c>
      <c r="O530">
        <v>77600</v>
      </c>
      <c r="Q530">
        <v>60000</v>
      </c>
    </row>
    <row r="531" spans="14:17" x14ac:dyDescent="0.3">
      <c r="N531" t="s">
        <v>28</v>
      </c>
      <c r="O531">
        <v>60000</v>
      </c>
      <c r="Q531">
        <v>75000</v>
      </c>
    </row>
    <row r="532" spans="14:17" x14ac:dyDescent="0.3">
      <c r="N532" t="s">
        <v>28</v>
      </c>
      <c r="O532">
        <v>70500</v>
      </c>
      <c r="Q532">
        <v>42000</v>
      </c>
    </row>
    <row r="533" spans="14:17" x14ac:dyDescent="0.3">
      <c r="N533" t="s">
        <v>28</v>
      </c>
      <c r="O533">
        <v>80000</v>
      </c>
      <c r="Q533">
        <v>87000</v>
      </c>
    </row>
    <row r="534" spans="14:17" x14ac:dyDescent="0.3">
      <c r="N534" t="s">
        <v>28</v>
      </c>
      <c r="O534">
        <v>56000</v>
      </c>
      <c r="Q534">
        <v>92000</v>
      </c>
    </row>
    <row r="535" spans="14:17" x14ac:dyDescent="0.3">
      <c r="N535" t="s">
        <v>28</v>
      </c>
      <c r="O535">
        <v>58000</v>
      </c>
      <c r="Q535">
        <v>70000</v>
      </c>
    </row>
    <row r="536" spans="14:17" x14ac:dyDescent="0.3">
      <c r="N536" t="s">
        <v>28</v>
      </c>
      <c r="O536">
        <v>75000</v>
      </c>
      <c r="Q536">
        <v>60000</v>
      </c>
    </row>
    <row r="537" spans="14:17" x14ac:dyDescent="0.3">
      <c r="N537" t="s">
        <v>28</v>
      </c>
      <c r="O537">
        <v>65000</v>
      </c>
      <c r="Q537">
        <v>79000</v>
      </c>
    </row>
    <row r="538" spans="14:17" x14ac:dyDescent="0.3">
      <c r="N538" t="s">
        <v>28</v>
      </c>
      <c r="O538">
        <v>83000</v>
      </c>
      <c r="Q538">
        <v>55000</v>
      </c>
    </row>
    <row r="539" spans="14:17" x14ac:dyDescent="0.3">
      <c r="N539" t="s">
        <v>28</v>
      </c>
      <c r="O539">
        <v>54000</v>
      </c>
      <c r="Q539">
        <v>80000</v>
      </c>
    </row>
    <row r="540" spans="14:17" x14ac:dyDescent="0.3">
      <c r="N540" t="s">
        <v>28</v>
      </c>
      <c r="O540">
        <v>55200</v>
      </c>
      <c r="Q540">
        <v>95000</v>
      </c>
    </row>
    <row r="541" spans="14:17" x14ac:dyDescent="0.3">
      <c r="N541" t="s">
        <v>28</v>
      </c>
      <c r="O541">
        <v>65000</v>
      </c>
      <c r="Q541">
        <v>81900</v>
      </c>
    </row>
    <row r="542" spans="14:17" x14ac:dyDescent="0.3">
      <c r="N542" t="s">
        <v>28</v>
      </c>
      <c r="O542">
        <v>65000</v>
      </c>
      <c r="Q542">
        <v>70000</v>
      </c>
    </row>
    <row r="543" spans="14:17" x14ac:dyDescent="0.3">
      <c r="N543" t="s">
        <v>28</v>
      </c>
      <c r="O543">
        <v>70000</v>
      </c>
      <c r="Q543">
        <v>70000</v>
      </c>
    </row>
    <row r="544" spans="14:17" x14ac:dyDescent="0.3">
      <c r="N544" t="s">
        <v>28</v>
      </c>
      <c r="O544">
        <v>55000</v>
      </c>
      <c r="Q544">
        <v>78000</v>
      </c>
    </row>
    <row r="545" spans="14:17" x14ac:dyDescent="0.3">
      <c r="N545" t="s">
        <v>28</v>
      </c>
      <c r="O545">
        <v>56000</v>
      </c>
      <c r="Q545">
        <v>62000</v>
      </c>
    </row>
    <row r="546" spans="14:17" x14ac:dyDescent="0.3">
      <c r="N546" t="s">
        <v>28</v>
      </c>
      <c r="O546">
        <v>60000</v>
      </c>
      <c r="Q546">
        <v>90000</v>
      </c>
    </row>
    <row r="547" spans="14:17" x14ac:dyDescent="0.3">
      <c r="N547" t="s">
        <v>28</v>
      </c>
      <c r="O547">
        <v>56000</v>
      </c>
      <c r="Q547">
        <v>90000</v>
      </c>
    </row>
    <row r="548" spans="14:17" x14ac:dyDescent="0.3">
      <c r="N548" t="s">
        <v>28</v>
      </c>
      <c r="O548">
        <v>65000</v>
      </c>
      <c r="Q548">
        <v>65000</v>
      </c>
    </row>
    <row r="549" spans="14:17" x14ac:dyDescent="0.3">
      <c r="N549" t="s">
        <v>28</v>
      </c>
      <c r="O549">
        <v>78000</v>
      </c>
      <c r="Q549">
        <v>50000</v>
      </c>
    </row>
    <row r="550" spans="14:17" x14ac:dyDescent="0.3">
      <c r="N550" t="s">
        <v>28</v>
      </c>
      <c r="O550">
        <v>65000</v>
      </c>
      <c r="Q550">
        <v>33000</v>
      </c>
    </row>
    <row r="551" spans="14:17" x14ac:dyDescent="0.3">
      <c r="N551" t="s">
        <v>28</v>
      </c>
      <c r="O551">
        <v>65000</v>
      </c>
      <c r="Q551">
        <v>90000</v>
      </c>
    </row>
    <row r="552" spans="14:17" x14ac:dyDescent="0.3">
      <c r="N552" t="s">
        <v>28</v>
      </c>
      <c r="O552">
        <v>50500</v>
      </c>
      <c r="Q552">
        <v>81000</v>
      </c>
    </row>
    <row r="553" spans="14:17" x14ac:dyDescent="0.3">
      <c r="N553" t="s">
        <v>28</v>
      </c>
      <c r="O553">
        <v>32000</v>
      </c>
      <c r="Q553">
        <v>60000</v>
      </c>
    </row>
    <row r="554" spans="14:17" x14ac:dyDescent="0.3">
      <c r="N554" t="s">
        <v>28</v>
      </c>
      <c r="O554">
        <v>70200</v>
      </c>
      <c r="Q554">
        <v>100000</v>
      </c>
    </row>
    <row r="555" spans="14:17" x14ac:dyDescent="0.3">
      <c r="N555" t="s">
        <v>28</v>
      </c>
      <c r="O555">
        <v>80000</v>
      </c>
      <c r="Q555">
        <v>70000</v>
      </c>
    </row>
    <row r="556" spans="14:17" x14ac:dyDescent="0.3">
      <c r="N556" t="s">
        <v>28</v>
      </c>
      <c r="O556">
        <v>62000</v>
      </c>
      <c r="Q556">
        <v>70000</v>
      </c>
    </row>
    <row r="557" spans="14:17" x14ac:dyDescent="0.3">
      <c r="N557" t="s">
        <v>28</v>
      </c>
      <c r="O557">
        <v>72000</v>
      </c>
      <c r="Q557">
        <v>70000</v>
      </c>
    </row>
    <row r="558" spans="14:17" x14ac:dyDescent="0.3">
      <c r="N558" t="s">
        <v>28</v>
      </c>
      <c r="O558">
        <v>62000</v>
      </c>
      <c r="Q558">
        <v>70000</v>
      </c>
    </row>
    <row r="559" spans="14:17" x14ac:dyDescent="0.3">
      <c r="N559" t="s">
        <v>28</v>
      </c>
      <c r="O559">
        <v>60000</v>
      </c>
      <c r="Q559">
        <v>68000</v>
      </c>
    </row>
    <row r="560" spans="14:17" x14ac:dyDescent="0.3">
      <c r="N560" t="s">
        <v>28</v>
      </c>
      <c r="O560">
        <v>66000</v>
      </c>
      <c r="Q560">
        <v>26400</v>
      </c>
    </row>
    <row r="561" spans="14:17" x14ac:dyDescent="0.3">
      <c r="N561" t="s">
        <v>28</v>
      </c>
      <c r="O561">
        <v>14712</v>
      </c>
      <c r="Q561">
        <v>35000</v>
      </c>
    </row>
    <row r="562" spans="14:17" x14ac:dyDescent="0.3">
      <c r="N562" t="s">
        <v>28</v>
      </c>
      <c r="O562">
        <v>65000</v>
      </c>
      <c r="Q562">
        <v>60000</v>
      </c>
    </row>
    <row r="563" spans="14:17" x14ac:dyDescent="0.3">
      <c r="N563" t="s">
        <v>28</v>
      </c>
      <c r="O563">
        <v>64000</v>
      </c>
      <c r="Q563">
        <v>150000</v>
      </c>
    </row>
    <row r="564" spans="14:17" x14ac:dyDescent="0.3">
      <c r="N564" t="s">
        <v>28</v>
      </c>
      <c r="O564">
        <v>60000</v>
      </c>
      <c r="Q564">
        <v>68000</v>
      </c>
    </row>
    <row r="565" spans="14:17" x14ac:dyDescent="0.3">
      <c r="N565" t="s">
        <v>28</v>
      </c>
      <c r="O565">
        <v>73000</v>
      </c>
      <c r="Q565">
        <v>36000</v>
      </c>
    </row>
    <row r="566" spans="14:17" x14ac:dyDescent="0.3">
      <c r="N566" t="s">
        <v>28</v>
      </c>
      <c r="O566">
        <v>65000</v>
      </c>
      <c r="Q566">
        <v>75000</v>
      </c>
    </row>
    <row r="567" spans="14:17" x14ac:dyDescent="0.3">
      <c r="N567" t="s">
        <v>28</v>
      </c>
      <c r="O567">
        <v>44000</v>
      </c>
      <c r="Q567">
        <v>70000</v>
      </c>
    </row>
    <row r="568" spans="14:17" x14ac:dyDescent="0.3">
      <c r="N568" t="s">
        <v>28</v>
      </c>
      <c r="O568">
        <v>55000</v>
      </c>
    </row>
    <row r="569" spans="14:17" x14ac:dyDescent="0.3">
      <c r="N569" t="s">
        <v>28</v>
      </c>
      <c r="O569">
        <v>60000</v>
      </c>
    </row>
    <row r="570" spans="14:17" x14ac:dyDescent="0.3">
      <c r="N570" t="s">
        <v>28</v>
      </c>
      <c r="O570">
        <v>66000</v>
      </c>
    </row>
    <row r="571" spans="14:17" x14ac:dyDescent="0.3">
      <c r="N571" t="s">
        <v>28</v>
      </c>
      <c r="O571">
        <v>65600</v>
      </c>
    </row>
    <row r="572" spans="14:17" x14ac:dyDescent="0.3">
      <c r="N572" t="s">
        <v>28</v>
      </c>
      <c r="O572">
        <v>77000</v>
      </c>
    </row>
    <row r="573" spans="14:17" x14ac:dyDescent="0.3">
      <c r="N573" t="s">
        <v>28</v>
      </c>
      <c r="O573">
        <v>58000</v>
      </c>
    </row>
    <row r="574" spans="14:17" x14ac:dyDescent="0.3">
      <c r="N574" t="s">
        <v>28</v>
      </c>
      <c r="O574">
        <v>45000</v>
      </c>
    </row>
    <row r="575" spans="14:17" x14ac:dyDescent="0.3">
      <c r="N575" t="s">
        <v>28</v>
      </c>
      <c r="O575">
        <v>56700</v>
      </c>
    </row>
    <row r="576" spans="14:17" x14ac:dyDescent="0.3">
      <c r="N576" t="s">
        <v>28</v>
      </c>
      <c r="O576">
        <v>46000</v>
      </c>
    </row>
    <row r="577" spans="14:15" x14ac:dyDescent="0.3">
      <c r="N577" t="s">
        <v>28</v>
      </c>
      <c r="O577">
        <v>54000</v>
      </c>
    </row>
    <row r="578" spans="14:15" x14ac:dyDescent="0.3">
      <c r="N578" t="s">
        <v>28</v>
      </c>
      <c r="O578">
        <v>63000</v>
      </c>
    </row>
    <row r="579" spans="14:15" x14ac:dyDescent="0.3">
      <c r="N579" t="s">
        <v>28</v>
      </c>
      <c r="O579">
        <v>63000</v>
      </c>
    </row>
    <row r="580" spans="14:15" x14ac:dyDescent="0.3">
      <c r="N580" t="s">
        <v>28</v>
      </c>
      <c r="O580">
        <v>42000</v>
      </c>
    </row>
    <row r="581" spans="14:15" x14ac:dyDescent="0.3">
      <c r="N581" t="s">
        <v>28</v>
      </c>
      <c r="O581">
        <v>62000</v>
      </c>
    </row>
    <row r="582" spans="14:15" x14ac:dyDescent="0.3">
      <c r="N582" t="s">
        <v>28</v>
      </c>
      <c r="O582">
        <v>63000</v>
      </c>
    </row>
    <row r="583" spans="14:15" x14ac:dyDescent="0.3">
      <c r="N583" t="s">
        <v>28</v>
      </c>
      <c r="O583">
        <v>60000</v>
      </c>
    </row>
    <row r="584" spans="14:15" x14ac:dyDescent="0.3">
      <c r="N584" t="s">
        <v>28</v>
      </c>
      <c r="O584">
        <v>65000</v>
      </c>
    </row>
    <row r="585" spans="14:15" x14ac:dyDescent="0.3">
      <c r="N585" t="s">
        <v>28</v>
      </c>
      <c r="O585">
        <v>48000</v>
      </c>
    </row>
    <row r="586" spans="14:15" x14ac:dyDescent="0.3">
      <c r="N586" t="s">
        <v>28</v>
      </c>
      <c r="O586">
        <v>55000</v>
      </c>
    </row>
    <row r="587" spans="14:15" x14ac:dyDescent="0.3">
      <c r="N587" t="s">
        <v>28</v>
      </c>
      <c r="O587">
        <v>58000</v>
      </c>
    </row>
    <row r="588" spans="14:15" x14ac:dyDescent="0.3">
      <c r="N588" t="s">
        <v>28</v>
      </c>
      <c r="O588">
        <v>66000</v>
      </c>
    </row>
    <row r="589" spans="14:15" x14ac:dyDescent="0.3">
      <c r="N589" t="s">
        <v>28</v>
      </c>
      <c r="O589">
        <v>50000</v>
      </c>
    </row>
    <row r="590" spans="14:15" x14ac:dyDescent="0.3">
      <c r="N590" t="s">
        <v>28</v>
      </c>
      <c r="O590">
        <v>75000</v>
      </c>
    </row>
    <row r="591" spans="14:15" x14ac:dyDescent="0.3">
      <c r="N591" t="s">
        <v>28</v>
      </c>
      <c r="O591">
        <v>60000</v>
      </c>
    </row>
    <row r="592" spans="14:15" x14ac:dyDescent="0.3">
      <c r="N592" t="s">
        <v>28</v>
      </c>
      <c r="O592">
        <v>75000</v>
      </c>
    </row>
    <row r="593" spans="14:15" x14ac:dyDescent="0.3">
      <c r="N593" t="s">
        <v>28</v>
      </c>
      <c r="O593">
        <v>57000</v>
      </c>
    </row>
    <row r="594" spans="14:15" x14ac:dyDescent="0.3">
      <c r="N594" t="s">
        <v>28</v>
      </c>
      <c r="O594">
        <v>60000</v>
      </c>
    </row>
    <row r="595" spans="14:15" x14ac:dyDescent="0.3">
      <c r="N595" t="s">
        <v>28</v>
      </c>
      <c r="O595">
        <v>51000</v>
      </c>
    </row>
    <row r="596" spans="14:15" x14ac:dyDescent="0.3">
      <c r="N596" t="s">
        <v>28</v>
      </c>
      <c r="O596">
        <v>65000</v>
      </c>
    </row>
    <row r="597" spans="14:15" x14ac:dyDescent="0.3">
      <c r="N597" t="s">
        <v>28</v>
      </c>
      <c r="O597">
        <v>65000</v>
      </c>
    </row>
    <row r="598" spans="14:15" x14ac:dyDescent="0.3">
      <c r="N598" t="s">
        <v>28</v>
      </c>
      <c r="O598">
        <v>50000</v>
      </c>
    </row>
    <row r="599" spans="14:15" x14ac:dyDescent="0.3">
      <c r="N599" t="s">
        <v>28</v>
      </c>
      <c r="O599">
        <v>62000</v>
      </c>
    </row>
    <row r="600" spans="14:15" x14ac:dyDescent="0.3">
      <c r="N600" t="s">
        <v>28</v>
      </c>
      <c r="O600">
        <v>55000</v>
      </c>
    </row>
    <row r="601" spans="14:15" x14ac:dyDescent="0.3">
      <c r="N601" t="s">
        <v>28</v>
      </c>
      <c r="O601">
        <v>50000</v>
      </c>
    </row>
    <row r="602" spans="14:15" x14ac:dyDescent="0.3">
      <c r="N602" t="s">
        <v>28</v>
      </c>
      <c r="O602">
        <v>65000</v>
      </c>
    </row>
    <row r="603" spans="14:15" x14ac:dyDescent="0.3">
      <c r="N603" t="s">
        <v>28</v>
      </c>
      <c r="O603">
        <v>65000</v>
      </c>
    </row>
    <row r="604" spans="14:15" x14ac:dyDescent="0.3">
      <c r="N604" t="s">
        <v>28</v>
      </c>
      <c r="O604">
        <v>65000</v>
      </c>
    </row>
    <row r="605" spans="14:15" x14ac:dyDescent="0.3">
      <c r="N605" t="s">
        <v>28</v>
      </c>
      <c r="O605">
        <v>65000</v>
      </c>
    </row>
    <row r="606" spans="14:15" x14ac:dyDescent="0.3">
      <c r="N606" t="s">
        <v>28</v>
      </c>
      <c r="O606">
        <v>62000</v>
      </c>
    </row>
    <row r="607" spans="14:15" x14ac:dyDescent="0.3">
      <c r="N607" t="s">
        <v>28</v>
      </c>
      <c r="O607">
        <v>48000</v>
      </c>
    </row>
    <row r="608" spans="14:15" x14ac:dyDescent="0.3">
      <c r="N608" t="s">
        <v>28</v>
      </c>
      <c r="O608">
        <v>53000</v>
      </c>
    </row>
    <row r="609" spans="14:15" x14ac:dyDescent="0.3">
      <c r="N609" t="s">
        <v>28</v>
      </c>
      <c r="O609">
        <v>65000</v>
      </c>
    </row>
    <row r="610" spans="14:15" x14ac:dyDescent="0.3">
      <c r="N610" t="s">
        <v>28</v>
      </c>
      <c r="O610">
        <v>50000</v>
      </c>
    </row>
    <row r="611" spans="14:15" x14ac:dyDescent="0.3">
      <c r="N611" t="s">
        <v>28</v>
      </c>
      <c r="O611">
        <v>60000</v>
      </c>
    </row>
    <row r="612" spans="14:15" x14ac:dyDescent="0.3">
      <c r="N612" t="s">
        <v>28</v>
      </c>
      <c r="O612">
        <v>65000</v>
      </c>
    </row>
    <row r="613" spans="14:15" x14ac:dyDescent="0.3">
      <c r="N613" t="s">
        <v>28</v>
      </c>
      <c r="O613">
        <v>53000</v>
      </c>
    </row>
    <row r="614" spans="14:15" x14ac:dyDescent="0.3">
      <c r="N614" t="s">
        <v>28</v>
      </c>
      <c r="O614">
        <v>62000</v>
      </c>
    </row>
    <row r="615" spans="14:15" x14ac:dyDescent="0.3">
      <c r="N615" t="s">
        <v>28</v>
      </c>
      <c r="O615">
        <v>68000</v>
      </c>
    </row>
    <row r="616" spans="14:15" x14ac:dyDescent="0.3">
      <c r="N616" t="s">
        <v>28</v>
      </c>
      <c r="O616">
        <v>66000</v>
      </c>
    </row>
    <row r="617" spans="14:15" x14ac:dyDescent="0.3">
      <c r="N617" t="s">
        <v>28</v>
      </c>
      <c r="O617">
        <v>68000</v>
      </c>
    </row>
    <row r="618" spans="14:15" x14ac:dyDescent="0.3">
      <c r="N618" t="s">
        <v>28</v>
      </c>
      <c r="O618">
        <v>89000</v>
      </c>
    </row>
    <row r="619" spans="14:15" x14ac:dyDescent="0.3">
      <c r="N619" t="s">
        <v>28</v>
      </c>
      <c r="O619">
        <v>62000</v>
      </c>
    </row>
    <row r="620" spans="14:15" x14ac:dyDescent="0.3">
      <c r="N620" t="s">
        <v>28</v>
      </c>
      <c r="O620">
        <v>57750</v>
      </c>
    </row>
    <row r="621" spans="14:15" x14ac:dyDescent="0.3">
      <c r="N621" t="s">
        <v>28</v>
      </c>
      <c r="O621">
        <v>55000</v>
      </c>
    </row>
    <row r="622" spans="14:15" x14ac:dyDescent="0.3">
      <c r="N622" t="s">
        <v>28</v>
      </c>
      <c r="O622">
        <v>54000</v>
      </c>
    </row>
    <row r="623" spans="14:15" x14ac:dyDescent="0.3">
      <c r="N623" t="s">
        <v>28</v>
      </c>
      <c r="O623">
        <v>60000</v>
      </c>
    </row>
    <row r="624" spans="14:15" x14ac:dyDescent="0.3">
      <c r="N624" t="s">
        <v>28</v>
      </c>
      <c r="O624">
        <v>65000</v>
      </c>
    </row>
    <row r="625" spans="14:15" x14ac:dyDescent="0.3">
      <c r="N625" t="s">
        <v>28</v>
      </c>
      <c r="O625">
        <v>63000</v>
      </c>
    </row>
    <row r="626" spans="14:15" x14ac:dyDescent="0.3">
      <c r="N626" t="s">
        <v>28</v>
      </c>
      <c r="O626">
        <v>49000</v>
      </c>
    </row>
    <row r="627" spans="14:15" x14ac:dyDescent="0.3">
      <c r="N627" t="s">
        <v>28</v>
      </c>
      <c r="O627">
        <v>66000</v>
      </c>
    </row>
    <row r="628" spans="14:15" x14ac:dyDescent="0.3">
      <c r="N628" t="s">
        <v>28</v>
      </c>
      <c r="O628">
        <v>70000</v>
      </c>
    </row>
    <row r="629" spans="14:15" x14ac:dyDescent="0.3">
      <c r="N629" t="s">
        <v>28</v>
      </c>
      <c r="O629">
        <v>59064</v>
      </c>
    </row>
    <row r="630" spans="14:15" x14ac:dyDescent="0.3">
      <c r="N630" t="s">
        <v>28</v>
      </c>
      <c r="O630">
        <v>63000</v>
      </c>
    </row>
    <row r="631" spans="14:15" x14ac:dyDescent="0.3">
      <c r="N631" t="s">
        <v>28</v>
      </c>
      <c r="O631">
        <v>65000</v>
      </c>
    </row>
    <row r="632" spans="14:15" x14ac:dyDescent="0.3">
      <c r="N632" t="s">
        <v>28</v>
      </c>
      <c r="O632">
        <v>60000</v>
      </c>
    </row>
    <row r="633" spans="14:15" x14ac:dyDescent="0.3">
      <c r="N633" t="s">
        <v>28</v>
      </c>
      <c r="O633">
        <v>65000</v>
      </c>
    </row>
    <row r="634" spans="14:15" x14ac:dyDescent="0.3">
      <c r="N634" t="s">
        <v>28</v>
      </c>
      <c r="O634">
        <v>65000</v>
      </c>
    </row>
    <row r="635" spans="14:15" x14ac:dyDescent="0.3">
      <c r="N635" t="s">
        <v>28</v>
      </c>
      <c r="O635">
        <v>43000</v>
      </c>
    </row>
    <row r="636" spans="14:15" x14ac:dyDescent="0.3">
      <c r="N636" t="s">
        <v>28</v>
      </c>
      <c r="O636">
        <v>45000</v>
      </c>
    </row>
    <row r="637" spans="14:15" x14ac:dyDescent="0.3">
      <c r="N637" t="s">
        <v>28</v>
      </c>
      <c r="O637">
        <v>69000</v>
      </c>
    </row>
    <row r="638" spans="14:15" x14ac:dyDescent="0.3">
      <c r="N638" t="s">
        <v>28</v>
      </c>
      <c r="O638">
        <v>55000</v>
      </c>
    </row>
    <row r="639" spans="14:15" x14ac:dyDescent="0.3">
      <c r="N639" t="s">
        <v>28</v>
      </c>
      <c r="O639">
        <v>60350</v>
      </c>
    </row>
    <row r="640" spans="14:15" x14ac:dyDescent="0.3">
      <c r="N640" t="s">
        <v>28</v>
      </c>
      <c r="O640">
        <v>67000</v>
      </c>
    </row>
    <row r="641" spans="14:15" x14ac:dyDescent="0.3">
      <c r="N641" t="s">
        <v>28</v>
      </c>
      <c r="O641">
        <v>85000</v>
      </c>
    </row>
    <row r="642" spans="14:15" x14ac:dyDescent="0.3">
      <c r="N642" t="s">
        <v>28</v>
      </c>
      <c r="O642">
        <v>70000</v>
      </c>
    </row>
    <row r="643" spans="14:15" x14ac:dyDescent="0.3">
      <c r="N643" t="s">
        <v>28</v>
      </c>
      <c r="O643">
        <v>36000</v>
      </c>
    </row>
    <row r="644" spans="14:15" x14ac:dyDescent="0.3">
      <c r="N644" t="s">
        <v>28</v>
      </c>
      <c r="O644">
        <v>40000</v>
      </c>
    </row>
    <row r="645" spans="14:15" x14ac:dyDescent="0.3">
      <c r="N645" t="s">
        <v>28</v>
      </c>
      <c r="O645">
        <v>73000</v>
      </c>
    </row>
    <row r="646" spans="14:15" x14ac:dyDescent="0.3">
      <c r="N646" t="s">
        <v>28</v>
      </c>
      <c r="O646">
        <v>74000</v>
      </c>
    </row>
    <row r="647" spans="14:15" x14ac:dyDescent="0.3">
      <c r="N647" t="s">
        <v>28</v>
      </c>
      <c r="O647">
        <v>50000</v>
      </c>
    </row>
    <row r="648" spans="14:15" x14ac:dyDescent="0.3">
      <c r="N648" t="s">
        <v>28</v>
      </c>
    </row>
    <row r="649" spans="14:15" x14ac:dyDescent="0.3">
      <c r="N649" t="s">
        <v>28</v>
      </c>
      <c r="O649">
        <v>53000</v>
      </c>
    </row>
    <row r="650" spans="14:15" x14ac:dyDescent="0.3">
      <c r="N650" t="s">
        <v>28</v>
      </c>
      <c r="O650">
        <v>75000</v>
      </c>
    </row>
    <row r="651" spans="14:15" x14ac:dyDescent="0.3">
      <c r="N651" t="s">
        <v>28</v>
      </c>
      <c r="O651">
        <v>10001</v>
      </c>
    </row>
    <row r="652" spans="14:15" x14ac:dyDescent="0.3">
      <c r="N652" t="s">
        <v>28</v>
      </c>
      <c r="O652">
        <v>42000</v>
      </c>
    </row>
    <row r="653" spans="14:15" x14ac:dyDescent="0.3">
      <c r="N653" t="s">
        <v>28</v>
      </c>
      <c r="O653">
        <v>65000</v>
      </c>
    </row>
    <row r="654" spans="14:15" x14ac:dyDescent="0.3">
      <c r="N654" t="s">
        <v>28</v>
      </c>
      <c r="O654">
        <v>56000</v>
      </c>
    </row>
    <row r="655" spans="14:15" x14ac:dyDescent="0.3">
      <c r="N655" t="s">
        <v>28</v>
      </c>
      <c r="O655">
        <v>68000</v>
      </c>
    </row>
    <row r="656" spans="14:15" x14ac:dyDescent="0.3">
      <c r="N656" t="s">
        <v>28</v>
      </c>
      <c r="O656">
        <v>57000</v>
      </c>
    </row>
    <row r="657" spans="14:15" x14ac:dyDescent="0.3">
      <c r="N657" t="s">
        <v>28</v>
      </c>
      <c r="O657">
        <v>130000</v>
      </c>
    </row>
    <row r="658" spans="14:15" x14ac:dyDescent="0.3">
      <c r="N658" t="s">
        <v>28</v>
      </c>
      <c r="O658">
        <v>71000</v>
      </c>
    </row>
    <row r="659" spans="14:15" x14ac:dyDescent="0.3">
      <c r="N659" t="s">
        <v>28</v>
      </c>
      <c r="O659">
        <v>54000</v>
      </c>
    </row>
    <row r="660" spans="14:15" x14ac:dyDescent="0.3">
      <c r="N660" t="s">
        <v>28</v>
      </c>
      <c r="O660">
        <v>65000</v>
      </c>
    </row>
    <row r="661" spans="14:15" x14ac:dyDescent="0.3">
      <c r="N661" t="s">
        <v>28</v>
      </c>
      <c r="O661">
        <v>57000</v>
      </c>
    </row>
    <row r="662" spans="14:15" x14ac:dyDescent="0.3">
      <c r="N662" t="s">
        <v>28</v>
      </c>
      <c r="O662">
        <v>28000</v>
      </c>
    </row>
    <row r="663" spans="14:15" x14ac:dyDescent="0.3">
      <c r="N663" t="s">
        <v>28</v>
      </c>
      <c r="O663">
        <v>70000</v>
      </c>
    </row>
    <row r="664" spans="14:15" x14ac:dyDescent="0.3">
      <c r="N664" t="s">
        <v>28</v>
      </c>
      <c r="O664">
        <v>12000</v>
      </c>
    </row>
    <row r="665" spans="14:15" x14ac:dyDescent="0.3">
      <c r="N665" t="s">
        <v>28</v>
      </c>
      <c r="O665">
        <v>50000</v>
      </c>
    </row>
    <row r="666" spans="14:15" x14ac:dyDescent="0.3">
      <c r="N666" t="s">
        <v>282</v>
      </c>
      <c r="O666">
        <v>70000</v>
      </c>
    </row>
    <row r="667" spans="14:15" x14ac:dyDescent="0.3">
      <c r="N667" t="s">
        <v>78</v>
      </c>
      <c r="O667">
        <v>55000</v>
      </c>
    </row>
    <row r="668" spans="14:15" x14ac:dyDescent="0.3">
      <c r="N668" t="s">
        <v>214</v>
      </c>
      <c r="O668">
        <v>47500</v>
      </c>
    </row>
    <row r="669" spans="14:15" x14ac:dyDescent="0.3">
      <c r="N669" t="s">
        <v>254</v>
      </c>
      <c r="O669">
        <v>100000</v>
      </c>
    </row>
    <row r="670" spans="14:15" x14ac:dyDescent="0.3">
      <c r="N670" t="s">
        <v>254</v>
      </c>
      <c r="O670">
        <v>108000</v>
      </c>
    </row>
    <row r="671" spans="14:15" x14ac:dyDescent="0.3">
      <c r="N671" t="s">
        <v>254</v>
      </c>
      <c r="O671">
        <v>77000</v>
      </c>
    </row>
    <row r="672" spans="14:15" x14ac:dyDescent="0.3">
      <c r="N672" t="s">
        <v>405</v>
      </c>
      <c r="O672">
        <v>200000</v>
      </c>
    </row>
    <row r="673" spans="14:15" x14ac:dyDescent="0.3">
      <c r="N673" t="s">
        <v>16</v>
      </c>
      <c r="O673">
        <v>76500</v>
      </c>
    </row>
    <row r="674" spans="14:15" x14ac:dyDescent="0.3">
      <c r="N674" t="s">
        <v>16</v>
      </c>
      <c r="O674">
        <v>49000</v>
      </c>
    </row>
    <row r="675" spans="14:15" x14ac:dyDescent="0.3">
      <c r="N675" t="s">
        <v>16</v>
      </c>
      <c r="O675">
        <v>200000</v>
      </c>
    </row>
    <row r="676" spans="14:15" x14ac:dyDescent="0.3">
      <c r="N676" t="s">
        <v>16</v>
      </c>
      <c r="O676">
        <v>160000</v>
      </c>
    </row>
    <row r="677" spans="14:15" x14ac:dyDescent="0.3">
      <c r="N677" t="s">
        <v>16</v>
      </c>
      <c r="O677">
        <v>64000</v>
      </c>
    </row>
    <row r="678" spans="14:15" x14ac:dyDescent="0.3">
      <c r="N678" t="s">
        <v>16</v>
      </c>
      <c r="O678">
        <v>75000</v>
      </c>
    </row>
    <row r="679" spans="14:15" x14ac:dyDescent="0.3">
      <c r="N679" t="s">
        <v>16</v>
      </c>
      <c r="O679">
        <v>45000</v>
      </c>
    </row>
    <row r="680" spans="14:15" x14ac:dyDescent="0.3">
      <c r="N680" t="s">
        <v>16</v>
      </c>
      <c r="O680">
        <v>100000</v>
      </c>
    </row>
    <row r="681" spans="14:15" x14ac:dyDescent="0.3">
      <c r="N681" t="s">
        <v>16</v>
      </c>
      <c r="O681">
        <v>60000</v>
      </c>
    </row>
    <row r="682" spans="14:15" x14ac:dyDescent="0.3">
      <c r="N682" t="s">
        <v>16</v>
      </c>
      <c r="O682">
        <v>60000</v>
      </c>
    </row>
    <row r="683" spans="14:15" x14ac:dyDescent="0.3">
      <c r="N683" t="s">
        <v>16</v>
      </c>
      <c r="O683">
        <v>67000</v>
      </c>
    </row>
    <row r="684" spans="14:15" x14ac:dyDescent="0.3">
      <c r="N684" t="s">
        <v>16</v>
      </c>
      <c r="O684">
        <v>56000</v>
      </c>
    </row>
    <row r="685" spans="14:15" x14ac:dyDescent="0.3">
      <c r="N685" t="s">
        <v>16</v>
      </c>
      <c r="O685">
        <v>49200</v>
      </c>
    </row>
    <row r="686" spans="14:15" x14ac:dyDescent="0.3">
      <c r="N686" t="s">
        <v>16</v>
      </c>
      <c r="O686">
        <v>70000</v>
      </c>
    </row>
    <row r="687" spans="14:15" x14ac:dyDescent="0.3">
      <c r="N687" t="s">
        <v>16</v>
      </c>
      <c r="O687">
        <v>154000</v>
      </c>
    </row>
    <row r="688" spans="14:15" x14ac:dyDescent="0.3">
      <c r="N688" t="s">
        <v>16</v>
      </c>
      <c r="O688">
        <v>65000</v>
      </c>
    </row>
    <row r="689" spans="14:15" x14ac:dyDescent="0.3">
      <c r="N689" t="s">
        <v>16</v>
      </c>
      <c r="O689">
        <v>60000</v>
      </c>
    </row>
    <row r="690" spans="14:15" x14ac:dyDescent="0.3">
      <c r="N690" t="s">
        <v>16</v>
      </c>
      <c r="O690">
        <v>100000</v>
      </c>
    </row>
    <row r="691" spans="14:15" x14ac:dyDescent="0.3">
      <c r="N691" t="s">
        <v>16</v>
      </c>
      <c r="O691">
        <v>78000</v>
      </c>
    </row>
    <row r="692" spans="14:15" x14ac:dyDescent="0.3">
      <c r="N692" t="s">
        <v>16</v>
      </c>
      <c r="O692">
        <v>80000</v>
      </c>
    </row>
    <row r="693" spans="14:15" x14ac:dyDescent="0.3">
      <c r="N693" t="s">
        <v>16</v>
      </c>
      <c r="O693">
        <v>55000</v>
      </c>
    </row>
    <row r="694" spans="14:15" x14ac:dyDescent="0.3">
      <c r="N694" t="s">
        <v>16</v>
      </c>
      <c r="O694">
        <v>75000</v>
      </c>
    </row>
    <row r="695" spans="14:15" x14ac:dyDescent="0.3">
      <c r="N695" t="s">
        <v>16</v>
      </c>
      <c r="O695">
        <v>50000</v>
      </c>
    </row>
    <row r="696" spans="14:15" x14ac:dyDescent="0.3">
      <c r="N696" t="s">
        <v>16</v>
      </c>
      <c r="O696">
        <v>50000</v>
      </c>
    </row>
    <row r="697" spans="14:15" x14ac:dyDescent="0.3">
      <c r="N697" t="s">
        <v>16</v>
      </c>
      <c r="O697">
        <v>80000</v>
      </c>
    </row>
    <row r="698" spans="14:15" x14ac:dyDescent="0.3">
      <c r="N698" t="s">
        <v>16</v>
      </c>
      <c r="O698">
        <v>85000</v>
      </c>
    </row>
    <row r="699" spans="14:15" x14ac:dyDescent="0.3">
      <c r="N699" t="s">
        <v>16</v>
      </c>
      <c r="O699">
        <v>107000</v>
      </c>
    </row>
    <row r="700" spans="14:15" x14ac:dyDescent="0.3">
      <c r="N700" t="s">
        <v>16</v>
      </c>
      <c r="O700">
        <v>70000</v>
      </c>
    </row>
    <row r="701" spans="14:15" x14ac:dyDescent="0.3">
      <c r="N701" t="s">
        <v>16</v>
      </c>
      <c r="O701">
        <v>42000</v>
      </c>
    </row>
    <row r="702" spans="14:15" x14ac:dyDescent="0.3">
      <c r="N702" t="s">
        <v>16</v>
      </c>
      <c r="O702">
        <v>75000</v>
      </c>
    </row>
    <row r="703" spans="14:15" x14ac:dyDescent="0.3">
      <c r="N703" t="s">
        <v>16</v>
      </c>
      <c r="O703">
        <v>110000</v>
      </c>
    </row>
    <row r="704" spans="14:15" x14ac:dyDescent="0.3">
      <c r="N704" t="s">
        <v>16</v>
      </c>
      <c r="O704">
        <v>70000</v>
      </c>
    </row>
    <row r="705" spans="14:15" x14ac:dyDescent="0.3">
      <c r="N705" t="s">
        <v>16</v>
      </c>
      <c r="O705">
        <v>70000</v>
      </c>
    </row>
    <row r="706" spans="14:15" x14ac:dyDescent="0.3">
      <c r="N706" t="s">
        <v>16</v>
      </c>
      <c r="O706">
        <v>73000</v>
      </c>
    </row>
    <row r="707" spans="14:15" x14ac:dyDescent="0.3">
      <c r="N707" t="s">
        <v>16</v>
      </c>
      <c r="O707">
        <v>75000</v>
      </c>
    </row>
    <row r="708" spans="14:15" x14ac:dyDescent="0.3">
      <c r="N708" t="s">
        <v>16</v>
      </c>
      <c r="O708">
        <v>85000</v>
      </c>
    </row>
    <row r="709" spans="14:15" x14ac:dyDescent="0.3">
      <c r="N709" t="s">
        <v>16</v>
      </c>
      <c r="O709">
        <v>85000</v>
      </c>
    </row>
    <row r="710" spans="14:15" x14ac:dyDescent="0.3">
      <c r="N710" t="s">
        <v>16</v>
      </c>
      <c r="O710">
        <v>65000</v>
      </c>
    </row>
    <row r="711" spans="14:15" x14ac:dyDescent="0.3">
      <c r="N711" t="s">
        <v>16</v>
      </c>
      <c r="O711">
        <v>70000</v>
      </c>
    </row>
    <row r="712" spans="14:15" x14ac:dyDescent="0.3">
      <c r="N712" t="s">
        <v>16</v>
      </c>
      <c r="O712">
        <v>57000</v>
      </c>
    </row>
    <row r="713" spans="14:15" x14ac:dyDescent="0.3">
      <c r="N713" t="s">
        <v>16</v>
      </c>
      <c r="O713">
        <v>60000</v>
      </c>
    </row>
    <row r="714" spans="14:15" x14ac:dyDescent="0.3">
      <c r="N714" t="s">
        <v>16</v>
      </c>
      <c r="O714">
        <v>66000</v>
      </c>
    </row>
    <row r="715" spans="14:15" x14ac:dyDescent="0.3">
      <c r="N715" t="s">
        <v>16</v>
      </c>
      <c r="O715">
        <v>60000</v>
      </c>
    </row>
    <row r="716" spans="14:15" x14ac:dyDescent="0.3">
      <c r="N716" t="s">
        <v>16</v>
      </c>
      <c r="O716">
        <v>60000</v>
      </c>
    </row>
    <row r="717" spans="14:15" x14ac:dyDescent="0.3">
      <c r="N717" t="s">
        <v>16</v>
      </c>
      <c r="O717">
        <v>70000</v>
      </c>
    </row>
    <row r="718" spans="14:15" x14ac:dyDescent="0.3">
      <c r="N718" t="s">
        <v>16</v>
      </c>
      <c r="O718">
        <v>90000</v>
      </c>
    </row>
    <row r="719" spans="14:15" x14ac:dyDescent="0.3">
      <c r="N719" t="s">
        <v>16</v>
      </c>
      <c r="O719">
        <v>47500</v>
      </c>
    </row>
    <row r="720" spans="14:15" x14ac:dyDescent="0.3">
      <c r="N720" t="s">
        <v>16</v>
      </c>
      <c r="O720">
        <v>70000</v>
      </c>
    </row>
    <row r="721" spans="14:15" x14ac:dyDescent="0.3">
      <c r="N721" t="s">
        <v>16</v>
      </c>
      <c r="O721">
        <v>85000</v>
      </c>
    </row>
    <row r="722" spans="14:15" x14ac:dyDescent="0.3">
      <c r="N722" t="s">
        <v>16</v>
      </c>
      <c r="O722">
        <v>70000</v>
      </c>
    </row>
    <row r="723" spans="14:15" x14ac:dyDescent="0.3">
      <c r="N723" t="s">
        <v>16</v>
      </c>
      <c r="O723">
        <v>70000</v>
      </c>
    </row>
    <row r="724" spans="14:15" x14ac:dyDescent="0.3">
      <c r="N724" t="s">
        <v>16</v>
      </c>
      <c r="O724">
        <v>60000</v>
      </c>
    </row>
    <row r="725" spans="14:15" x14ac:dyDescent="0.3">
      <c r="N725" t="s">
        <v>16</v>
      </c>
      <c r="O725">
        <v>108500</v>
      </c>
    </row>
    <row r="726" spans="14:15" x14ac:dyDescent="0.3">
      <c r="N726" t="s">
        <v>16</v>
      </c>
      <c r="O726">
        <v>106000</v>
      </c>
    </row>
    <row r="727" spans="14:15" x14ac:dyDescent="0.3">
      <c r="N727" t="s">
        <v>16</v>
      </c>
      <c r="O727">
        <v>72000</v>
      </c>
    </row>
    <row r="728" spans="14:15" x14ac:dyDescent="0.3">
      <c r="N728" t="s">
        <v>16</v>
      </c>
      <c r="O728">
        <v>68000</v>
      </c>
    </row>
    <row r="729" spans="14:15" x14ac:dyDescent="0.3">
      <c r="N729" t="s">
        <v>16</v>
      </c>
      <c r="O729">
        <v>44000</v>
      </c>
    </row>
    <row r="730" spans="14:15" x14ac:dyDescent="0.3">
      <c r="N730" t="s">
        <v>16</v>
      </c>
      <c r="O730">
        <v>70000</v>
      </c>
    </row>
    <row r="731" spans="14:15" x14ac:dyDescent="0.3">
      <c r="N731" t="s">
        <v>16</v>
      </c>
      <c r="O731">
        <v>36000</v>
      </c>
    </row>
    <row r="732" spans="14:15" x14ac:dyDescent="0.3">
      <c r="N732" t="s">
        <v>16</v>
      </c>
      <c r="O732">
        <v>172000</v>
      </c>
    </row>
    <row r="733" spans="14:15" x14ac:dyDescent="0.3">
      <c r="N733" t="s">
        <v>16</v>
      </c>
      <c r="O733">
        <v>90000</v>
      </c>
    </row>
    <row r="734" spans="14:15" x14ac:dyDescent="0.3">
      <c r="N734" t="s">
        <v>16</v>
      </c>
      <c r="O734">
        <v>60000</v>
      </c>
    </row>
    <row r="735" spans="14:15" x14ac:dyDescent="0.3">
      <c r="N735" t="s">
        <v>16</v>
      </c>
      <c r="O735">
        <v>80000</v>
      </c>
    </row>
    <row r="736" spans="14:15" x14ac:dyDescent="0.3">
      <c r="N736" t="s">
        <v>16</v>
      </c>
      <c r="O736">
        <v>62000</v>
      </c>
    </row>
    <row r="737" spans="14:15" x14ac:dyDescent="0.3">
      <c r="N737" t="s">
        <v>16</v>
      </c>
      <c r="O737">
        <v>40000</v>
      </c>
    </row>
    <row r="738" spans="14:15" x14ac:dyDescent="0.3">
      <c r="N738" t="s">
        <v>16</v>
      </c>
      <c r="O738">
        <v>80000</v>
      </c>
    </row>
    <row r="739" spans="14:15" x14ac:dyDescent="0.3">
      <c r="N739" t="s">
        <v>16</v>
      </c>
      <c r="O739">
        <v>113000</v>
      </c>
    </row>
    <row r="740" spans="14:15" x14ac:dyDescent="0.3">
      <c r="N740" t="s">
        <v>16</v>
      </c>
      <c r="O740">
        <v>95000</v>
      </c>
    </row>
    <row r="741" spans="14:15" x14ac:dyDescent="0.3">
      <c r="N741" t="s">
        <v>16</v>
      </c>
      <c r="O741">
        <v>75000</v>
      </c>
    </row>
    <row r="742" spans="14:15" x14ac:dyDescent="0.3">
      <c r="N742" t="s">
        <v>16</v>
      </c>
      <c r="O742">
        <v>75000</v>
      </c>
    </row>
    <row r="743" spans="14:15" x14ac:dyDescent="0.3">
      <c r="N743" t="s">
        <v>16</v>
      </c>
      <c r="O743">
        <v>85600</v>
      </c>
    </row>
    <row r="744" spans="14:15" x14ac:dyDescent="0.3">
      <c r="N744" t="s">
        <v>16</v>
      </c>
      <c r="O744">
        <v>70000</v>
      </c>
    </row>
    <row r="745" spans="14:15" x14ac:dyDescent="0.3">
      <c r="N745" t="s">
        <v>16</v>
      </c>
      <c r="O745">
        <v>55000</v>
      </c>
    </row>
    <row r="746" spans="14:15" x14ac:dyDescent="0.3">
      <c r="N746" t="s">
        <v>16</v>
      </c>
      <c r="O746">
        <v>75000</v>
      </c>
    </row>
    <row r="747" spans="14:15" x14ac:dyDescent="0.3">
      <c r="N747" t="s">
        <v>16</v>
      </c>
      <c r="O747">
        <v>75000</v>
      </c>
    </row>
    <row r="748" spans="14:15" x14ac:dyDescent="0.3">
      <c r="N748" t="s">
        <v>16</v>
      </c>
      <c r="O748">
        <v>60000</v>
      </c>
    </row>
    <row r="749" spans="14:15" x14ac:dyDescent="0.3">
      <c r="N749" t="s">
        <v>16</v>
      </c>
      <c r="O749">
        <v>68500</v>
      </c>
    </row>
    <row r="750" spans="14:15" x14ac:dyDescent="0.3">
      <c r="N750" t="s">
        <v>16</v>
      </c>
      <c r="O750">
        <v>72000</v>
      </c>
    </row>
    <row r="751" spans="14:15" x14ac:dyDescent="0.3">
      <c r="N751" t="s">
        <v>16</v>
      </c>
      <c r="O751">
        <v>77500</v>
      </c>
    </row>
    <row r="752" spans="14:15" x14ac:dyDescent="0.3">
      <c r="N752" t="s">
        <v>16</v>
      </c>
      <c r="O752">
        <v>66800</v>
      </c>
    </row>
    <row r="753" spans="14:15" x14ac:dyDescent="0.3">
      <c r="N753" t="s">
        <v>16</v>
      </c>
      <c r="O753">
        <v>75000</v>
      </c>
    </row>
    <row r="754" spans="14:15" x14ac:dyDescent="0.3">
      <c r="N754" t="s">
        <v>16</v>
      </c>
      <c r="O754">
        <v>66000</v>
      </c>
    </row>
    <row r="755" spans="14:15" x14ac:dyDescent="0.3">
      <c r="N755" t="s">
        <v>16</v>
      </c>
      <c r="O755">
        <v>73000</v>
      </c>
    </row>
    <row r="756" spans="14:15" x14ac:dyDescent="0.3">
      <c r="N756" t="s">
        <v>16</v>
      </c>
      <c r="O756">
        <v>70000</v>
      </c>
    </row>
    <row r="757" spans="14:15" x14ac:dyDescent="0.3">
      <c r="N757" t="s">
        <v>16</v>
      </c>
      <c r="O757">
        <v>65000</v>
      </c>
    </row>
    <row r="758" spans="14:15" x14ac:dyDescent="0.3">
      <c r="N758" t="s">
        <v>16</v>
      </c>
      <c r="O758">
        <v>92000</v>
      </c>
    </row>
    <row r="759" spans="14:15" x14ac:dyDescent="0.3">
      <c r="N759" t="s">
        <v>16</v>
      </c>
      <c r="O759">
        <v>68000</v>
      </c>
    </row>
    <row r="760" spans="14:15" x14ac:dyDescent="0.3">
      <c r="N760" t="s">
        <v>16</v>
      </c>
      <c r="O760">
        <v>70000</v>
      </c>
    </row>
    <row r="761" spans="14:15" x14ac:dyDescent="0.3">
      <c r="N761" t="s">
        <v>16</v>
      </c>
      <c r="O761">
        <v>70000</v>
      </c>
    </row>
    <row r="762" spans="14:15" x14ac:dyDescent="0.3">
      <c r="N762" t="s">
        <v>16</v>
      </c>
      <c r="O762">
        <v>60000</v>
      </c>
    </row>
    <row r="763" spans="14:15" x14ac:dyDescent="0.3">
      <c r="N763" t="s">
        <v>16</v>
      </c>
      <c r="O763">
        <v>55000</v>
      </c>
    </row>
    <row r="764" spans="14:15" x14ac:dyDescent="0.3">
      <c r="N764" t="s">
        <v>16</v>
      </c>
      <c r="O764">
        <v>68500</v>
      </c>
    </row>
    <row r="765" spans="14:15" x14ac:dyDescent="0.3">
      <c r="N765" t="s">
        <v>16</v>
      </c>
      <c r="O765">
        <v>63000</v>
      </c>
    </row>
    <row r="766" spans="14:15" x14ac:dyDescent="0.3">
      <c r="N766" t="s">
        <v>16</v>
      </c>
      <c r="O766">
        <v>68000</v>
      </c>
    </row>
    <row r="767" spans="14:15" x14ac:dyDescent="0.3">
      <c r="N767" t="s">
        <v>16</v>
      </c>
      <c r="O767">
        <v>65000</v>
      </c>
    </row>
    <row r="768" spans="14:15" x14ac:dyDescent="0.3">
      <c r="N768" t="s">
        <v>16</v>
      </c>
      <c r="O768">
        <v>75000</v>
      </c>
    </row>
    <row r="769" spans="14:15" x14ac:dyDescent="0.3">
      <c r="N769" t="s">
        <v>16</v>
      </c>
      <c r="O769">
        <v>60000</v>
      </c>
    </row>
    <row r="770" spans="14:15" x14ac:dyDescent="0.3">
      <c r="N770" t="s">
        <v>16</v>
      </c>
      <c r="O770">
        <v>72000</v>
      </c>
    </row>
    <row r="771" spans="14:15" x14ac:dyDescent="0.3">
      <c r="N771" t="s">
        <v>16</v>
      </c>
      <c r="O771">
        <v>80000</v>
      </c>
    </row>
    <row r="772" spans="14:15" x14ac:dyDescent="0.3">
      <c r="N772" t="s">
        <v>16</v>
      </c>
      <c r="O772">
        <v>60000</v>
      </c>
    </row>
    <row r="773" spans="14:15" x14ac:dyDescent="0.3">
      <c r="N773" t="s">
        <v>16</v>
      </c>
      <c r="O773">
        <v>65000</v>
      </c>
    </row>
    <row r="774" spans="14:15" x14ac:dyDescent="0.3">
      <c r="N774" t="s">
        <v>16</v>
      </c>
      <c r="O774">
        <v>57600</v>
      </c>
    </row>
    <row r="775" spans="14:15" x14ac:dyDescent="0.3">
      <c r="N775" t="s">
        <v>16</v>
      </c>
      <c r="O775">
        <v>65000</v>
      </c>
    </row>
    <row r="776" spans="14:15" x14ac:dyDescent="0.3">
      <c r="N776" t="s">
        <v>16</v>
      </c>
      <c r="O776">
        <v>66000</v>
      </c>
    </row>
    <row r="777" spans="14:15" x14ac:dyDescent="0.3">
      <c r="N777" t="s">
        <v>16</v>
      </c>
      <c r="O777">
        <v>67000</v>
      </c>
    </row>
    <row r="778" spans="14:15" x14ac:dyDescent="0.3">
      <c r="N778" t="s">
        <v>16</v>
      </c>
      <c r="O778">
        <v>70000</v>
      </c>
    </row>
    <row r="779" spans="14:15" x14ac:dyDescent="0.3">
      <c r="N779" t="s">
        <v>16</v>
      </c>
      <c r="O779">
        <v>55000</v>
      </c>
    </row>
    <row r="780" spans="14:15" x14ac:dyDescent="0.3">
      <c r="N780" t="s">
        <v>16</v>
      </c>
      <c r="O780">
        <v>85000</v>
      </c>
    </row>
    <row r="781" spans="14:15" x14ac:dyDescent="0.3">
      <c r="N781" t="s">
        <v>16</v>
      </c>
      <c r="O781">
        <v>76900</v>
      </c>
    </row>
    <row r="782" spans="14:15" x14ac:dyDescent="0.3">
      <c r="N782" t="s">
        <v>16</v>
      </c>
      <c r="O782">
        <v>83000</v>
      </c>
    </row>
    <row r="783" spans="14:15" x14ac:dyDescent="0.3">
      <c r="N783" t="s">
        <v>16</v>
      </c>
      <c r="O783">
        <v>73000</v>
      </c>
    </row>
    <row r="784" spans="14:15" x14ac:dyDescent="0.3">
      <c r="N784" t="s">
        <v>16</v>
      </c>
      <c r="O784">
        <v>70000</v>
      </c>
    </row>
    <row r="785" spans="14:15" x14ac:dyDescent="0.3">
      <c r="N785" t="s">
        <v>16</v>
      </c>
      <c r="O785">
        <v>80000</v>
      </c>
    </row>
    <row r="786" spans="14:15" x14ac:dyDescent="0.3">
      <c r="N786" t="s">
        <v>16</v>
      </c>
      <c r="O786">
        <v>85000</v>
      </c>
    </row>
    <row r="787" spans="14:15" x14ac:dyDescent="0.3">
      <c r="N787" t="s">
        <v>16</v>
      </c>
      <c r="O787">
        <v>57000</v>
      </c>
    </row>
    <row r="788" spans="14:15" x14ac:dyDescent="0.3">
      <c r="N788" t="s">
        <v>16</v>
      </c>
      <c r="O788">
        <v>70000</v>
      </c>
    </row>
    <row r="789" spans="14:15" x14ac:dyDescent="0.3">
      <c r="N789" t="s">
        <v>16</v>
      </c>
      <c r="O789">
        <v>68000</v>
      </c>
    </row>
    <row r="790" spans="14:15" x14ac:dyDescent="0.3">
      <c r="N790" t="s">
        <v>16</v>
      </c>
      <c r="O790">
        <v>68500</v>
      </c>
    </row>
    <row r="791" spans="14:15" x14ac:dyDescent="0.3">
      <c r="N791" t="s">
        <v>16</v>
      </c>
      <c r="O791">
        <v>72000</v>
      </c>
    </row>
    <row r="792" spans="14:15" x14ac:dyDescent="0.3">
      <c r="N792" t="s">
        <v>16</v>
      </c>
      <c r="O792">
        <v>75000</v>
      </c>
    </row>
    <row r="793" spans="14:15" x14ac:dyDescent="0.3">
      <c r="N793" t="s">
        <v>16</v>
      </c>
      <c r="O793">
        <v>70000</v>
      </c>
    </row>
    <row r="794" spans="14:15" x14ac:dyDescent="0.3">
      <c r="N794" t="s">
        <v>16</v>
      </c>
      <c r="O794">
        <v>73500</v>
      </c>
    </row>
    <row r="795" spans="14:15" x14ac:dyDescent="0.3">
      <c r="N795" t="s">
        <v>16</v>
      </c>
      <c r="O795">
        <v>83000</v>
      </c>
    </row>
    <row r="796" spans="14:15" x14ac:dyDescent="0.3">
      <c r="N796" t="s">
        <v>16</v>
      </c>
      <c r="O796">
        <v>72000</v>
      </c>
    </row>
    <row r="797" spans="14:15" x14ac:dyDescent="0.3">
      <c r="N797" t="s">
        <v>16</v>
      </c>
      <c r="O797">
        <v>50400</v>
      </c>
    </row>
    <row r="798" spans="14:15" x14ac:dyDescent="0.3">
      <c r="N798" t="s">
        <v>16</v>
      </c>
      <c r="O798">
        <v>70000</v>
      </c>
    </row>
    <row r="799" spans="14:15" x14ac:dyDescent="0.3">
      <c r="N799" t="s">
        <v>16</v>
      </c>
      <c r="O799">
        <v>80000</v>
      </c>
    </row>
    <row r="800" spans="14:15" x14ac:dyDescent="0.3">
      <c r="N800" t="s">
        <v>16</v>
      </c>
      <c r="O800">
        <v>80000</v>
      </c>
    </row>
    <row r="801" spans="14:15" x14ac:dyDescent="0.3">
      <c r="N801" t="s">
        <v>16</v>
      </c>
      <c r="O801">
        <v>70000</v>
      </c>
    </row>
    <row r="802" spans="14:15" x14ac:dyDescent="0.3">
      <c r="N802" t="s">
        <v>16</v>
      </c>
      <c r="O802">
        <v>83000</v>
      </c>
    </row>
    <row r="803" spans="14:15" x14ac:dyDescent="0.3">
      <c r="N803" t="s">
        <v>16</v>
      </c>
      <c r="O803">
        <v>74000</v>
      </c>
    </row>
    <row r="804" spans="14:15" x14ac:dyDescent="0.3">
      <c r="N804" t="s">
        <v>16</v>
      </c>
      <c r="O804">
        <v>83000</v>
      </c>
    </row>
    <row r="805" spans="14:15" x14ac:dyDescent="0.3">
      <c r="N805" t="s">
        <v>16</v>
      </c>
      <c r="O805">
        <v>60000</v>
      </c>
    </row>
    <row r="806" spans="14:15" x14ac:dyDescent="0.3">
      <c r="N806" t="s">
        <v>16</v>
      </c>
      <c r="O806">
        <v>77000</v>
      </c>
    </row>
    <row r="807" spans="14:15" x14ac:dyDescent="0.3">
      <c r="N807" t="s">
        <v>16</v>
      </c>
      <c r="O807">
        <v>79000</v>
      </c>
    </row>
    <row r="808" spans="14:15" x14ac:dyDescent="0.3">
      <c r="N808" t="s">
        <v>16</v>
      </c>
      <c r="O808">
        <v>75000</v>
      </c>
    </row>
    <row r="809" spans="14:15" x14ac:dyDescent="0.3">
      <c r="N809" t="s">
        <v>16</v>
      </c>
      <c r="O809">
        <v>85000</v>
      </c>
    </row>
    <row r="810" spans="14:15" x14ac:dyDescent="0.3">
      <c r="N810" t="s">
        <v>16</v>
      </c>
      <c r="O810">
        <v>77000</v>
      </c>
    </row>
    <row r="811" spans="14:15" x14ac:dyDescent="0.3">
      <c r="N811" t="s">
        <v>16</v>
      </c>
      <c r="O811">
        <v>76000</v>
      </c>
    </row>
    <row r="812" spans="14:15" x14ac:dyDescent="0.3">
      <c r="N812" t="s">
        <v>16</v>
      </c>
      <c r="O812">
        <v>80000</v>
      </c>
    </row>
    <row r="813" spans="14:15" x14ac:dyDescent="0.3">
      <c r="N813" t="s">
        <v>16</v>
      </c>
      <c r="O813">
        <v>90000</v>
      </c>
    </row>
    <row r="814" spans="14:15" x14ac:dyDescent="0.3">
      <c r="N814" t="s">
        <v>16</v>
      </c>
      <c r="O814">
        <v>70000</v>
      </c>
    </row>
    <row r="815" spans="14:15" x14ac:dyDescent="0.3">
      <c r="N815" t="s">
        <v>16</v>
      </c>
      <c r="O815">
        <v>79000</v>
      </c>
    </row>
    <row r="816" spans="14:15" x14ac:dyDescent="0.3">
      <c r="N816" t="s">
        <v>16</v>
      </c>
      <c r="O816">
        <v>77000</v>
      </c>
    </row>
    <row r="817" spans="14:15" x14ac:dyDescent="0.3">
      <c r="N817" t="s">
        <v>16</v>
      </c>
      <c r="O817">
        <v>72000</v>
      </c>
    </row>
    <row r="818" spans="14:15" x14ac:dyDescent="0.3">
      <c r="N818" t="s">
        <v>16</v>
      </c>
      <c r="O818">
        <v>75000</v>
      </c>
    </row>
    <row r="819" spans="14:15" x14ac:dyDescent="0.3">
      <c r="N819" t="s">
        <v>16</v>
      </c>
      <c r="O819">
        <v>75000</v>
      </c>
    </row>
    <row r="820" spans="14:15" x14ac:dyDescent="0.3">
      <c r="N820" t="s">
        <v>16</v>
      </c>
      <c r="O820">
        <v>65000</v>
      </c>
    </row>
    <row r="821" spans="14:15" x14ac:dyDescent="0.3">
      <c r="N821" t="s">
        <v>16</v>
      </c>
      <c r="O821">
        <v>72500</v>
      </c>
    </row>
    <row r="822" spans="14:15" x14ac:dyDescent="0.3">
      <c r="N822" t="s">
        <v>16</v>
      </c>
      <c r="O822">
        <v>70000</v>
      </c>
    </row>
    <row r="823" spans="14:15" x14ac:dyDescent="0.3">
      <c r="N823" t="s">
        <v>16</v>
      </c>
      <c r="O823">
        <v>80000</v>
      </c>
    </row>
    <row r="824" spans="14:15" x14ac:dyDescent="0.3">
      <c r="N824" t="s">
        <v>16</v>
      </c>
      <c r="O824">
        <v>65000</v>
      </c>
    </row>
    <row r="825" spans="14:15" x14ac:dyDescent="0.3">
      <c r="N825" t="s">
        <v>16</v>
      </c>
      <c r="O825">
        <v>72000</v>
      </c>
    </row>
    <row r="826" spans="14:15" x14ac:dyDescent="0.3">
      <c r="N826" t="s">
        <v>16</v>
      </c>
      <c r="O826">
        <v>65000</v>
      </c>
    </row>
    <row r="827" spans="14:15" x14ac:dyDescent="0.3">
      <c r="N827" t="s">
        <v>16</v>
      </c>
      <c r="O827">
        <v>75000</v>
      </c>
    </row>
    <row r="828" spans="14:15" x14ac:dyDescent="0.3">
      <c r="N828" t="s">
        <v>16</v>
      </c>
      <c r="O828">
        <v>75000</v>
      </c>
    </row>
    <row r="829" spans="14:15" x14ac:dyDescent="0.3">
      <c r="N829" t="s">
        <v>16</v>
      </c>
      <c r="O829">
        <v>65000</v>
      </c>
    </row>
    <row r="830" spans="14:15" x14ac:dyDescent="0.3">
      <c r="N830" t="s">
        <v>16</v>
      </c>
      <c r="O830">
        <v>78000</v>
      </c>
    </row>
    <row r="831" spans="14:15" x14ac:dyDescent="0.3">
      <c r="N831" t="s">
        <v>16</v>
      </c>
      <c r="O831">
        <v>70000</v>
      </c>
    </row>
    <row r="832" spans="14:15" x14ac:dyDescent="0.3">
      <c r="N832" t="s">
        <v>16</v>
      </c>
      <c r="O832">
        <v>75000</v>
      </c>
    </row>
    <row r="833" spans="14:15" x14ac:dyDescent="0.3">
      <c r="N833" t="s">
        <v>16</v>
      </c>
      <c r="O833">
        <v>80000</v>
      </c>
    </row>
    <row r="834" spans="14:15" x14ac:dyDescent="0.3">
      <c r="N834" t="s">
        <v>16</v>
      </c>
      <c r="O834">
        <v>85000</v>
      </c>
    </row>
    <row r="835" spans="14:15" x14ac:dyDescent="0.3">
      <c r="N835" t="s">
        <v>16</v>
      </c>
      <c r="O835">
        <v>77250</v>
      </c>
    </row>
    <row r="836" spans="14:15" x14ac:dyDescent="0.3">
      <c r="N836" t="s">
        <v>16</v>
      </c>
      <c r="O836">
        <v>75000</v>
      </c>
    </row>
    <row r="837" spans="14:15" x14ac:dyDescent="0.3">
      <c r="N837" t="s">
        <v>16</v>
      </c>
      <c r="O837">
        <v>54000</v>
      </c>
    </row>
    <row r="838" spans="14:15" x14ac:dyDescent="0.3">
      <c r="N838" t="s">
        <v>16</v>
      </c>
      <c r="O838">
        <v>65000</v>
      </c>
    </row>
    <row r="839" spans="14:15" x14ac:dyDescent="0.3">
      <c r="N839" t="s">
        <v>16</v>
      </c>
      <c r="O839">
        <v>90000</v>
      </c>
    </row>
    <row r="840" spans="14:15" x14ac:dyDescent="0.3">
      <c r="N840" t="s">
        <v>16</v>
      </c>
      <c r="O840">
        <v>85000</v>
      </c>
    </row>
    <row r="841" spans="14:15" x14ac:dyDescent="0.3">
      <c r="N841" t="s">
        <v>16</v>
      </c>
      <c r="O841">
        <v>68250</v>
      </c>
    </row>
    <row r="842" spans="14:15" x14ac:dyDescent="0.3">
      <c r="N842" t="s">
        <v>16</v>
      </c>
      <c r="O842">
        <v>72000</v>
      </c>
    </row>
    <row r="843" spans="14:15" x14ac:dyDescent="0.3">
      <c r="N843" t="s">
        <v>16</v>
      </c>
      <c r="O843">
        <v>85000</v>
      </c>
    </row>
    <row r="844" spans="14:15" x14ac:dyDescent="0.3">
      <c r="N844" t="s">
        <v>16</v>
      </c>
      <c r="O844">
        <v>60000</v>
      </c>
    </row>
    <row r="845" spans="14:15" x14ac:dyDescent="0.3">
      <c r="N845" t="s">
        <v>16</v>
      </c>
      <c r="O845">
        <v>65000</v>
      </c>
    </row>
    <row r="846" spans="14:15" x14ac:dyDescent="0.3">
      <c r="N846" t="s">
        <v>16</v>
      </c>
      <c r="O846">
        <v>80000</v>
      </c>
    </row>
    <row r="847" spans="14:15" x14ac:dyDescent="0.3">
      <c r="N847" t="s">
        <v>16</v>
      </c>
      <c r="O847">
        <v>78000</v>
      </c>
    </row>
    <row r="848" spans="14:15" x14ac:dyDescent="0.3">
      <c r="N848" t="s">
        <v>16</v>
      </c>
      <c r="O848">
        <v>60000</v>
      </c>
    </row>
    <row r="849" spans="14:15" x14ac:dyDescent="0.3">
      <c r="N849" t="s">
        <v>16</v>
      </c>
      <c r="O849">
        <v>80000</v>
      </c>
    </row>
    <row r="850" spans="14:15" x14ac:dyDescent="0.3">
      <c r="N850" t="s">
        <v>16</v>
      </c>
      <c r="O850">
        <v>67000</v>
      </c>
    </row>
    <row r="851" spans="14:15" x14ac:dyDescent="0.3">
      <c r="N851" t="s">
        <v>16</v>
      </c>
      <c r="O851">
        <v>52000</v>
      </c>
    </row>
    <row r="852" spans="14:15" x14ac:dyDescent="0.3">
      <c r="N852" t="s">
        <v>16</v>
      </c>
      <c r="O852">
        <v>65000</v>
      </c>
    </row>
    <row r="853" spans="14:15" x14ac:dyDescent="0.3">
      <c r="N853" t="s">
        <v>16</v>
      </c>
      <c r="O853">
        <v>65000</v>
      </c>
    </row>
    <row r="854" spans="14:15" x14ac:dyDescent="0.3">
      <c r="N854" t="s">
        <v>16</v>
      </c>
      <c r="O854">
        <v>85000</v>
      </c>
    </row>
    <row r="855" spans="14:15" x14ac:dyDescent="0.3">
      <c r="N855" t="s">
        <v>16</v>
      </c>
      <c r="O855">
        <v>58000</v>
      </c>
    </row>
    <row r="856" spans="14:15" x14ac:dyDescent="0.3">
      <c r="N856" t="s">
        <v>16</v>
      </c>
      <c r="O856">
        <v>55000</v>
      </c>
    </row>
    <row r="857" spans="14:15" x14ac:dyDescent="0.3">
      <c r="N857" t="s">
        <v>16</v>
      </c>
      <c r="O857">
        <v>70000</v>
      </c>
    </row>
    <row r="858" spans="14:15" x14ac:dyDescent="0.3">
      <c r="N858" t="s">
        <v>16</v>
      </c>
      <c r="O858">
        <v>60000</v>
      </c>
    </row>
    <row r="859" spans="14:15" x14ac:dyDescent="0.3">
      <c r="N859" t="s">
        <v>16</v>
      </c>
      <c r="O859">
        <v>75000</v>
      </c>
    </row>
    <row r="860" spans="14:15" x14ac:dyDescent="0.3">
      <c r="N860" t="s">
        <v>16</v>
      </c>
      <c r="O860">
        <v>78000</v>
      </c>
    </row>
    <row r="861" spans="14:15" x14ac:dyDescent="0.3">
      <c r="N861" t="s">
        <v>16</v>
      </c>
      <c r="O861">
        <v>150000</v>
      </c>
    </row>
    <row r="862" spans="14:15" x14ac:dyDescent="0.3">
      <c r="N862" t="s">
        <v>16</v>
      </c>
      <c r="O862">
        <v>66000</v>
      </c>
    </row>
    <row r="863" spans="14:15" x14ac:dyDescent="0.3">
      <c r="N863" t="s">
        <v>16</v>
      </c>
      <c r="O863">
        <v>55000</v>
      </c>
    </row>
    <row r="864" spans="14:15" x14ac:dyDescent="0.3">
      <c r="N864" t="s">
        <v>16</v>
      </c>
      <c r="O864">
        <v>52000</v>
      </c>
    </row>
    <row r="865" spans="14:15" x14ac:dyDescent="0.3">
      <c r="N865" t="s">
        <v>16</v>
      </c>
      <c r="O865">
        <v>69000</v>
      </c>
    </row>
    <row r="866" spans="14:15" x14ac:dyDescent="0.3">
      <c r="N866" t="s">
        <v>16</v>
      </c>
      <c r="O866">
        <v>64000</v>
      </c>
    </row>
    <row r="867" spans="14:15" x14ac:dyDescent="0.3">
      <c r="N867" t="s">
        <v>16</v>
      </c>
      <c r="O867">
        <v>65000</v>
      </c>
    </row>
    <row r="868" spans="14:15" x14ac:dyDescent="0.3">
      <c r="N868" t="s">
        <v>16</v>
      </c>
      <c r="O868">
        <v>60000</v>
      </c>
    </row>
    <row r="869" spans="14:15" x14ac:dyDescent="0.3">
      <c r="N869" t="s">
        <v>16</v>
      </c>
      <c r="O869">
        <v>95000</v>
      </c>
    </row>
    <row r="870" spans="14:15" x14ac:dyDescent="0.3">
      <c r="N870" t="s">
        <v>16</v>
      </c>
      <c r="O870">
        <v>90000</v>
      </c>
    </row>
    <row r="871" spans="14:15" x14ac:dyDescent="0.3">
      <c r="N871" t="s">
        <v>16</v>
      </c>
      <c r="O871">
        <v>60000</v>
      </c>
    </row>
    <row r="872" spans="14:15" x14ac:dyDescent="0.3">
      <c r="N872" t="s">
        <v>16</v>
      </c>
      <c r="O872">
        <v>60000</v>
      </c>
    </row>
    <row r="873" spans="14:15" x14ac:dyDescent="0.3">
      <c r="N873" t="s">
        <v>16</v>
      </c>
      <c r="O873">
        <v>77000</v>
      </c>
    </row>
    <row r="874" spans="14:15" x14ac:dyDescent="0.3">
      <c r="N874" t="s">
        <v>16</v>
      </c>
      <c r="O874">
        <v>60000</v>
      </c>
    </row>
    <row r="875" spans="14:15" x14ac:dyDescent="0.3">
      <c r="N875" t="s">
        <v>16</v>
      </c>
      <c r="O875">
        <v>85000</v>
      </c>
    </row>
    <row r="876" spans="14:15" x14ac:dyDescent="0.3">
      <c r="N876" t="s">
        <v>16</v>
      </c>
      <c r="O876">
        <v>80000</v>
      </c>
    </row>
    <row r="877" spans="14:15" x14ac:dyDescent="0.3">
      <c r="N877" t="s">
        <v>16</v>
      </c>
      <c r="O877">
        <v>77000</v>
      </c>
    </row>
    <row r="878" spans="14:15" x14ac:dyDescent="0.3">
      <c r="N878" t="s">
        <v>16</v>
      </c>
      <c r="O878">
        <v>74000</v>
      </c>
    </row>
    <row r="879" spans="14:15" x14ac:dyDescent="0.3">
      <c r="N879" t="s">
        <v>16</v>
      </c>
      <c r="O879">
        <v>88000</v>
      </c>
    </row>
    <row r="880" spans="14:15" x14ac:dyDescent="0.3">
      <c r="N880" t="s">
        <v>16</v>
      </c>
      <c r="O880">
        <v>80000</v>
      </c>
    </row>
    <row r="881" spans="14:15" x14ac:dyDescent="0.3">
      <c r="N881" t="s">
        <v>16</v>
      </c>
      <c r="O881">
        <v>70000</v>
      </c>
    </row>
    <row r="882" spans="14:15" x14ac:dyDescent="0.3">
      <c r="N882" t="s">
        <v>16</v>
      </c>
      <c r="O882">
        <v>48000</v>
      </c>
    </row>
    <row r="883" spans="14:15" x14ac:dyDescent="0.3">
      <c r="N883" t="s">
        <v>16</v>
      </c>
      <c r="O883">
        <v>75000</v>
      </c>
    </row>
    <row r="884" spans="14:15" x14ac:dyDescent="0.3">
      <c r="N884" t="s">
        <v>16</v>
      </c>
      <c r="O884">
        <v>65000</v>
      </c>
    </row>
    <row r="885" spans="14:15" x14ac:dyDescent="0.3">
      <c r="N885" t="s">
        <v>16</v>
      </c>
      <c r="O885">
        <v>75000</v>
      </c>
    </row>
    <row r="886" spans="14:15" x14ac:dyDescent="0.3">
      <c r="N886" t="s">
        <v>16</v>
      </c>
      <c r="O886">
        <v>86000</v>
      </c>
    </row>
    <row r="887" spans="14:15" x14ac:dyDescent="0.3">
      <c r="N887" t="s">
        <v>16</v>
      </c>
      <c r="O887">
        <v>75000</v>
      </c>
    </row>
    <row r="888" spans="14:15" x14ac:dyDescent="0.3">
      <c r="N888" t="s">
        <v>16</v>
      </c>
      <c r="O888">
        <v>75000</v>
      </c>
    </row>
    <row r="889" spans="14:15" x14ac:dyDescent="0.3">
      <c r="N889" t="s">
        <v>16</v>
      </c>
      <c r="O889">
        <v>67473</v>
      </c>
    </row>
    <row r="890" spans="14:15" x14ac:dyDescent="0.3">
      <c r="N890" t="s">
        <v>16</v>
      </c>
      <c r="O890">
        <v>69000</v>
      </c>
    </row>
    <row r="891" spans="14:15" x14ac:dyDescent="0.3">
      <c r="N891" t="s">
        <v>16</v>
      </c>
      <c r="O891">
        <v>95000</v>
      </c>
    </row>
    <row r="892" spans="14:15" x14ac:dyDescent="0.3">
      <c r="N892" t="s">
        <v>16</v>
      </c>
      <c r="O892">
        <v>70000</v>
      </c>
    </row>
    <row r="893" spans="14:15" x14ac:dyDescent="0.3">
      <c r="N893" t="s">
        <v>16</v>
      </c>
      <c r="O893">
        <v>72000</v>
      </c>
    </row>
    <row r="894" spans="14:15" x14ac:dyDescent="0.3">
      <c r="N894" t="s">
        <v>16</v>
      </c>
      <c r="O894">
        <v>70000</v>
      </c>
    </row>
    <row r="895" spans="14:15" x14ac:dyDescent="0.3">
      <c r="N895" t="s">
        <v>16</v>
      </c>
      <c r="O895">
        <v>75000</v>
      </c>
    </row>
    <row r="896" spans="14:15" x14ac:dyDescent="0.3">
      <c r="N896" t="s">
        <v>16</v>
      </c>
      <c r="O896">
        <v>35000</v>
      </c>
    </row>
    <row r="897" spans="14:15" x14ac:dyDescent="0.3">
      <c r="N897" t="s">
        <v>16</v>
      </c>
      <c r="O897">
        <v>66300</v>
      </c>
    </row>
    <row r="898" spans="14:15" x14ac:dyDescent="0.3">
      <c r="N898" t="s">
        <v>16</v>
      </c>
      <c r="O898">
        <v>75000</v>
      </c>
    </row>
    <row r="899" spans="14:15" x14ac:dyDescent="0.3">
      <c r="N899" t="s">
        <v>16</v>
      </c>
      <c r="O899">
        <v>75000</v>
      </c>
    </row>
    <row r="900" spans="14:15" x14ac:dyDescent="0.3">
      <c r="N900" t="s">
        <v>16</v>
      </c>
      <c r="O900">
        <v>55000</v>
      </c>
    </row>
    <row r="901" spans="14:15" x14ac:dyDescent="0.3">
      <c r="N901" t="s">
        <v>16</v>
      </c>
      <c r="O901">
        <v>80000</v>
      </c>
    </row>
    <row r="902" spans="14:15" x14ac:dyDescent="0.3">
      <c r="N902" t="s">
        <v>16</v>
      </c>
      <c r="O902">
        <v>120000</v>
      </c>
    </row>
    <row r="903" spans="14:15" x14ac:dyDescent="0.3">
      <c r="N903" t="s">
        <v>16</v>
      </c>
      <c r="O903">
        <v>54000</v>
      </c>
    </row>
    <row r="904" spans="14:15" x14ac:dyDescent="0.3">
      <c r="N904" t="s">
        <v>16</v>
      </c>
      <c r="O904">
        <v>70000</v>
      </c>
    </row>
    <row r="905" spans="14:15" x14ac:dyDescent="0.3">
      <c r="N905" t="s">
        <v>16</v>
      </c>
      <c r="O905">
        <v>74000</v>
      </c>
    </row>
    <row r="906" spans="14:15" x14ac:dyDescent="0.3">
      <c r="N906" t="s">
        <v>16</v>
      </c>
      <c r="O906">
        <v>72000</v>
      </c>
    </row>
    <row r="907" spans="14:15" x14ac:dyDescent="0.3">
      <c r="N907" t="s">
        <v>16</v>
      </c>
      <c r="O907">
        <v>82000</v>
      </c>
    </row>
    <row r="908" spans="14:15" x14ac:dyDescent="0.3">
      <c r="N908" t="s">
        <v>16</v>
      </c>
      <c r="O908">
        <v>64000</v>
      </c>
    </row>
    <row r="909" spans="14:15" x14ac:dyDescent="0.3">
      <c r="N909" t="s">
        <v>16</v>
      </c>
      <c r="O909">
        <v>62000</v>
      </c>
    </row>
    <row r="910" spans="14:15" x14ac:dyDescent="0.3">
      <c r="N910" t="s">
        <v>16</v>
      </c>
      <c r="O910">
        <v>56000</v>
      </c>
    </row>
    <row r="911" spans="14:15" x14ac:dyDescent="0.3">
      <c r="N911" t="s">
        <v>16</v>
      </c>
      <c r="O911">
        <v>69000</v>
      </c>
    </row>
    <row r="912" spans="14:15" x14ac:dyDescent="0.3">
      <c r="N912" t="s">
        <v>16</v>
      </c>
      <c r="O912">
        <v>63500</v>
      </c>
    </row>
    <row r="913" spans="14:15" x14ac:dyDescent="0.3">
      <c r="N913" t="s">
        <v>16</v>
      </c>
      <c r="O913">
        <v>66000</v>
      </c>
    </row>
    <row r="914" spans="14:15" x14ac:dyDescent="0.3">
      <c r="N914" t="s">
        <v>16</v>
      </c>
      <c r="O914">
        <v>77000</v>
      </c>
    </row>
    <row r="915" spans="14:15" x14ac:dyDescent="0.3">
      <c r="N915" t="s">
        <v>16</v>
      </c>
      <c r="O915">
        <v>85000</v>
      </c>
    </row>
    <row r="916" spans="14:15" x14ac:dyDescent="0.3">
      <c r="N916" t="s">
        <v>16</v>
      </c>
      <c r="O916">
        <v>60000</v>
      </c>
    </row>
    <row r="917" spans="14:15" x14ac:dyDescent="0.3">
      <c r="N917" t="s">
        <v>16</v>
      </c>
      <c r="O917">
        <v>70000</v>
      </c>
    </row>
    <row r="918" spans="14:15" x14ac:dyDescent="0.3">
      <c r="N918" t="s">
        <v>16</v>
      </c>
      <c r="O918">
        <v>73000</v>
      </c>
    </row>
    <row r="919" spans="14:15" x14ac:dyDescent="0.3">
      <c r="N919" t="s">
        <v>16</v>
      </c>
      <c r="O919">
        <v>76000</v>
      </c>
    </row>
    <row r="920" spans="14:15" x14ac:dyDescent="0.3">
      <c r="N920" t="s">
        <v>16</v>
      </c>
      <c r="O920">
        <v>80000</v>
      </c>
    </row>
    <row r="921" spans="14:15" x14ac:dyDescent="0.3">
      <c r="N921" t="s">
        <v>16</v>
      </c>
      <c r="O921">
        <v>72000</v>
      </c>
    </row>
    <row r="922" spans="14:15" x14ac:dyDescent="0.3">
      <c r="N922" t="s">
        <v>16</v>
      </c>
      <c r="O922">
        <v>70000</v>
      </c>
    </row>
    <row r="923" spans="14:15" x14ac:dyDescent="0.3">
      <c r="N923" t="s">
        <v>16</v>
      </c>
      <c r="O923">
        <v>70000</v>
      </c>
    </row>
    <row r="924" spans="14:15" x14ac:dyDescent="0.3">
      <c r="N924" t="s">
        <v>16</v>
      </c>
      <c r="O924">
        <v>81000</v>
      </c>
    </row>
    <row r="925" spans="14:15" x14ac:dyDescent="0.3">
      <c r="N925" t="s">
        <v>16</v>
      </c>
      <c r="O925">
        <v>75000</v>
      </c>
    </row>
    <row r="926" spans="14:15" x14ac:dyDescent="0.3">
      <c r="N926" t="s">
        <v>16</v>
      </c>
      <c r="O926">
        <v>50000</v>
      </c>
    </row>
    <row r="927" spans="14:15" x14ac:dyDescent="0.3">
      <c r="N927" t="s">
        <v>16</v>
      </c>
      <c r="O927">
        <v>60000</v>
      </c>
    </row>
    <row r="928" spans="14:15" x14ac:dyDescent="0.3">
      <c r="N928" t="s">
        <v>16</v>
      </c>
      <c r="O928">
        <v>62000</v>
      </c>
    </row>
    <row r="929" spans="14:15" x14ac:dyDescent="0.3">
      <c r="N929" t="s">
        <v>16</v>
      </c>
      <c r="O929">
        <v>70000</v>
      </c>
    </row>
    <row r="930" spans="14:15" x14ac:dyDescent="0.3">
      <c r="N930" t="s">
        <v>16</v>
      </c>
      <c r="O930">
        <v>60000</v>
      </c>
    </row>
    <row r="931" spans="14:15" x14ac:dyDescent="0.3">
      <c r="N931" t="s">
        <v>16</v>
      </c>
      <c r="O931">
        <v>70000</v>
      </c>
    </row>
    <row r="932" spans="14:15" x14ac:dyDescent="0.3">
      <c r="N932" t="s">
        <v>16</v>
      </c>
      <c r="O932">
        <v>71060</v>
      </c>
    </row>
    <row r="933" spans="14:15" x14ac:dyDescent="0.3">
      <c r="N933" t="s">
        <v>16</v>
      </c>
      <c r="O933">
        <v>75000</v>
      </c>
    </row>
    <row r="934" spans="14:15" x14ac:dyDescent="0.3">
      <c r="N934" t="s">
        <v>16</v>
      </c>
      <c r="O934">
        <v>57000</v>
      </c>
    </row>
    <row r="935" spans="14:15" x14ac:dyDescent="0.3">
      <c r="N935" t="s">
        <v>16</v>
      </c>
      <c r="O935">
        <v>57000</v>
      </c>
    </row>
    <row r="936" spans="14:15" x14ac:dyDescent="0.3">
      <c r="N936" t="s">
        <v>16</v>
      </c>
      <c r="O936">
        <v>75000</v>
      </c>
    </row>
    <row r="937" spans="14:15" x14ac:dyDescent="0.3">
      <c r="N937" t="s">
        <v>16</v>
      </c>
      <c r="O937">
        <v>65000</v>
      </c>
    </row>
    <row r="938" spans="14:15" x14ac:dyDescent="0.3">
      <c r="N938" t="s">
        <v>16</v>
      </c>
      <c r="O938">
        <v>68500</v>
      </c>
    </row>
    <row r="939" spans="14:15" x14ac:dyDescent="0.3">
      <c r="N939" t="s">
        <v>16</v>
      </c>
      <c r="O939">
        <v>65000</v>
      </c>
    </row>
    <row r="940" spans="14:15" x14ac:dyDescent="0.3">
      <c r="N940" t="s">
        <v>16</v>
      </c>
      <c r="O940">
        <v>78000</v>
      </c>
    </row>
    <row r="941" spans="14:15" x14ac:dyDescent="0.3">
      <c r="N941" t="s">
        <v>16</v>
      </c>
      <c r="O941">
        <v>60000</v>
      </c>
    </row>
    <row r="942" spans="14:15" x14ac:dyDescent="0.3">
      <c r="N942" t="s">
        <v>16</v>
      </c>
      <c r="O942">
        <v>60000</v>
      </c>
    </row>
    <row r="943" spans="14:15" x14ac:dyDescent="0.3">
      <c r="N943" t="s">
        <v>16</v>
      </c>
      <c r="O943">
        <v>60000</v>
      </c>
    </row>
    <row r="944" spans="14:15" x14ac:dyDescent="0.3">
      <c r="N944" t="s">
        <v>16</v>
      </c>
      <c r="O944">
        <v>61000</v>
      </c>
    </row>
    <row r="945" spans="14:15" x14ac:dyDescent="0.3">
      <c r="N945" t="s">
        <v>16</v>
      </c>
      <c r="O945">
        <v>80000</v>
      </c>
    </row>
    <row r="946" spans="14:15" x14ac:dyDescent="0.3">
      <c r="N946" t="s">
        <v>16</v>
      </c>
      <c r="O946">
        <v>72000</v>
      </c>
    </row>
    <row r="947" spans="14:15" x14ac:dyDescent="0.3">
      <c r="N947" t="s">
        <v>16</v>
      </c>
      <c r="O947">
        <v>50400</v>
      </c>
    </row>
    <row r="948" spans="14:15" x14ac:dyDescent="0.3">
      <c r="N948" t="s">
        <v>16</v>
      </c>
      <c r="O948">
        <v>67000</v>
      </c>
    </row>
    <row r="949" spans="14:15" x14ac:dyDescent="0.3">
      <c r="N949" t="s">
        <v>16</v>
      </c>
      <c r="O949">
        <v>90000</v>
      </c>
    </row>
    <row r="950" spans="14:15" x14ac:dyDescent="0.3">
      <c r="N950" t="s">
        <v>16</v>
      </c>
      <c r="O950">
        <v>93000</v>
      </c>
    </row>
    <row r="951" spans="14:15" x14ac:dyDescent="0.3">
      <c r="N951" t="s">
        <v>16</v>
      </c>
      <c r="O951">
        <v>84700</v>
      </c>
    </row>
    <row r="952" spans="14:15" x14ac:dyDescent="0.3">
      <c r="N952" t="s">
        <v>16</v>
      </c>
      <c r="O952">
        <v>62000</v>
      </c>
    </row>
    <row r="953" spans="14:15" x14ac:dyDescent="0.3">
      <c r="N953" t="s">
        <v>16</v>
      </c>
      <c r="O953">
        <v>65000</v>
      </c>
    </row>
    <row r="954" spans="14:15" x14ac:dyDescent="0.3">
      <c r="N954" t="s">
        <v>16</v>
      </c>
      <c r="O954">
        <v>81000</v>
      </c>
    </row>
    <row r="955" spans="14:15" x14ac:dyDescent="0.3">
      <c r="N955" t="s">
        <v>16</v>
      </c>
      <c r="O955">
        <v>80000</v>
      </c>
    </row>
    <row r="956" spans="14:15" x14ac:dyDescent="0.3">
      <c r="N956" t="s">
        <v>16</v>
      </c>
      <c r="O956">
        <v>80000</v>
      </c>
    </row>
    <row r="957" spans="14:15" x14ac:dyDescent="0.3">
      <c r="N957" t="s">
        <v>16</v>
      </c>
      <c r="O957">
        <v>76000</v>
      </c>
    </row>
    <row r="958" spans="14:15" x14ac:dyDescent="0.3">
      <c r="N958" t="s">
        <v>16</v>
      </c>
      <c r="O958">
        <v>45000</v>
      </c>
    </row>
    <row r="959" spans="14:15" x14ac:dyDescent="0.3">
      <c r="N959" t="s">
        <v>16</v>
      </c>
      <c r="O959">
        <v>56400</v>
      </c>
    </row>
    <row r="960" spans="14:15" x14ac:dyDescent="0.3">
      <c r="N960" t="s">
        <v>16</v>
      </c>
      <c r="O960">
        <v>72000</v>
      </c>
    </row>
    <row r="961" spans="14:15" x14ac:dyDescent="0.3">
      <c r="N961" t="s">
        <v>16</v>
      </c>
      <c r="O961">
        <v>70000</v>
      </c>
    </row>
    <row r="962" spans="14:15" x14ac:dyDescent="0.3">
      <c r="N962" t="s">
        <v>16</v>
      </c>
      <c r="O962">
        <v>65400</v>
      </c>
    </row>
    <row r="963" spans="14:15" x14ac:dyDescent="0.3">
      <c r="N963" t="s">
        <v>16</v>
      </c>
      <c r="O963">
        <v>80000</v>
      </c>
    </row>
    <row r="964" spans="14:15" x14ac:dyDescent="0.3">
      <c r="N964" t="s">
        <v>16</v>
      </c>
      <c r="O964">
        <v>55000</v>
      </c>
    </row>
    <row r="965" spans="14:15" x14ac:dyDescent="0.3">
      <c r="N965" t="s">
        <v>16</v>
      </c>
      <c r="O965">
        <v>65000</v>
      </c>
    </row>
    <row r="966" spans="14:15" x14ac:dyDescent="0.3">
      <c r="N966" t="s">
        <v>16</v>
      </c>
      <c r="O966">
        <v>64800</v>
      </c>
    </row>
    <row r="967" spans="14:15" x14ac:dyDescent="0.3">
      <c r="N967" t="s">
        <v>16</v>
      </c>
      <c r="O967">
        <v>78000</v>
      </c>
    </row>
    <row r="968" spans="14:15" x14ac:dyDescent="0.3">
      <c r="N968" t="s">
        <v>16</v>
      </c>
      <c r="O968">
        <v>60000</v>
      </c>
    </row>
    <row r="969" spans="14:15" x14ac:dyDescent="0.3">
      <c r="N969" t="s">
        <v>16</v>
      </c>
      <c r="O969">
        <v>93000</v>
      </c>
    </row>
    <row r="970" spans="14:15" x14ac:dyDescent="0.3">
      <c r="N970" t="s">
        <v>16</v>
      </c>
      <c r="O970">
        <v>110000</v>
      </c>
    </row>
    <row r="971" spans="14:15" x14ac:dyDescent="0.3">
      <c r="N971" t="s">
        <v>16</v>
      </c>
      <c r="O971">
        <v>62000</v>
      </c>
    </row>
    <row r="972" spans="14:15" x14ac:dyDescent="0.3">
      <c r="N972" t="s">
        <v>16</v>
      </c>
      <c r="O972">
        <v>60000</v>
      </c>
    </row>
    <row r="973" spans="14:15" x14ac:dyDescent="0.3">
      <c r="N973" t="s">
        <v>16</v>
      </c>
      <c r="O973">
        <v>75000</v>
      </c>
    </row>
    <row r="974" spans="14:15" x14ac:dyDescent="0.3">
      <c r="N974" t="s">
        <v>16</v>
      </c>
      <c r="O974">
        <v>60000</v>
      </c>
    </row>
    <row r="975" spans="14:15" x14ac:dyDescent="0.3">
      <c r="N975" t="s">
        <v>16</v>
      </c>
      <c r="O975">
        <v>60000</v>
      </c>
    </row>
    <row r="976" spans="14:15" x14ac:dyDescent="0.3">
      <c r="N976" t="s">
        <v>16</v>
      </c>
      <c r="O976">
        <v>70800</v>
      </c>
    </row>
    <row r="977" spans="14:15" x14ac:dyDescent="0.3">
      <c r="N977" t="s">
        <v>16</v>
      </c>
      <c r="O977">
        <v>67500</v>
      </c>
    </row>
    <row r="978" spans="14:15" x14ac:dyDescent="0.3">
      <c r="N978" t="s">
        <v>16</v>
      </c>
      <c r="O978">
        <v>85000</v>
      </c>
    </row>
    <row r="979" spans="14:15" x14ac:dyDescent="0.3">
      <c r="N979" t="s">
        <v>16</v>
      </c>
      <c r="O979">
        <v>84000</v>
      </c>
    </row>
    <row r="980" spans="14:15" x14ac:dyDescent="0.3">
      <c r="N980" t="s">
        <v>16</v>
      </c>
      <c r="O980">
        <v>75000</v>
      </c>
    </row>
    <row r="981" spans="14:15" x14ac:dyDescent="0.3">
      <c r="N981" t="s">
        <v>16</v>
      </c>
      <c r="O981">
        <v>90000</v>
      </c>
    </row>
    <row r="982" spans="14:15" x14ac:dyDescent="0.3">
      <c r="N982" t="s">
        <v>16</v>
      </c>
      <c r="O982">
        <v>79300</v>
      </c>
    </row>
    <row r="983" spans="14:15" x14ac:dyDescent="0.3">
      <c r="N983" t="s">
        <v>16</v>
      </c>
      <c r="O983">
        <v>120000</v>
      </c>
    </row>
    <row r="984" spans="14:15" x14ac:dyDescent="0.3">
      <c r="N984" t="s">
        <v>16</v>
      </c>
      <c r="O984">
        <v>70000</v>
      </c>
    </row>
    <row r="985" spans="14:15" x14ac:dyDescent="0.3">
      <c r="N985" t="s">
        <v>16</v>
      </c>
      <c r="O985">
        <v>120000</v>
      </c>
    </row>
    <row r="986" spans="14:15" x14ac:dyDescent="0.3">
      <c r="N986" t="s">
        <v>16</v>
      </c>
      <c r="O986">
        <v>90000</v>
      </c>
    </row>
    <row r="987" spans="14:15" x14ac:dyDescent="0.3">
      <c r="N987" t="s">
        <v>16</v>
      </c>
      <c r="O987">
        <v>93000</v>
      </c>
    </row>
    <row r="988" spans="14:15" x14ac:dyDescent="0.3">
      <c r="N988" t="s">
        <v>16</v>
      </c>
      <c r="O988">
        <v>75000</v>
      </c>
    </row>
    <row r="989" spans="14:15" x14ac:dyDescent="0.3">
      <c r="N989" t="s">
        <v>16</v>
      </c>
      <c r="O989">
        <v>76000</v>
      </c>
    </row>
    <row r="990" spans="14:15" x14ac:dyDescent="0.3">
      <c r="N990" t="s">
        <v>16</v>
      </c>
      <c r="O990">
        <v>100000</v>
      </c>
    </row>
    <row r="991" spans="14:15" x14ac:dyDescent="0.3">
      <c r="N991" t="s">
        <v>16</v>
      </c>
      <c r="O991">
        <v>98000</v>
      </c>
    </row>
    <row r="992" spans="14:15" x14ac:dyDescent="0.3">
      <c r="N992" t="s">
        <v>16</v>
      </c>
      <c r="O992">
        <v>73000</v>
      </c>
    </row>
    <row r="993" spans="14:15" x14ac:dyDescent="0.3">
      <c r="N993" t="s">
        <v>16</v>
      </c>
      <c r="O993">
        <v>65900</v>
      </c>
    </row>
    <row r="994" spans="14:15" x14ac:dyDescent="0.3">
      <c r="N994" t="s">
        <v>16</v>
      </c>
      <c r="O994">
        <v>100000</v>
      </c>
    </row>
    <row r="995" spans="14:15" x14ac:dyDescent="0.3">
      <c r="N995" t="s">
        <v>16</v>
      </c>
      <c r="O995">
        <v>72000</v>
      </c>
    </row>
    <row r="996" spans="14:15" x14ac:dyDescent="0.3">
      <c r="N996" t="s">
        <v>16</v>
      </c>
      <c r="O996">
        <v>67200</v>
      </c>
    </row>
    <row r="997" spans="14:15" x14ac:dyDescent="0.3">
      <c r="N997" t="s">
        <v>16</v>
      </c>
      <c r="O997">
        <v>74000</v>
      </c>
    </row>
    <row r="998" spans="14:15" x14ac:dyDescent="0.3">
      <c r="N998" t="s">
        <v>16</v>
      </c>
      <c r="O998">
        <v>73000</v>
      </c>
    </row>
    <row r="999" spans="14:15" x14ac:dyDescent="0.3">
      <c r="N999" t="s">
        <v>16</v>
      </c>
      <c r="O999">
        <v>81500</v>
      </c>
    </row>
    <row r="1000" spans="14:15" x14ac:dyDescent="0.3">
      <c r="N1000" t="s">
        <v>16</v>
      </c>
      <c r="O1000">
        <v>88000</v>
      </c>
    </row>
    <row r="1001" spans="14:15" x14ac:dyDescent="0.3">
      <c r="N1001" t="s">
        <v>16</v>
      </c>
      <c r="O1001">
        <v>62400</v>
      </c>
    </row>
    <row r="1002" spans="14:15" x14ac:dyDescent="0.3">
      <c r="N1002" t="s">
        <v>16</v>
      </c>
      <c r="O1002">
        <v>61000</v>
      </c>
    </row>
    <row r="1003" spans="14:15" x14ac:dyDescent="0.3">
      <c r="N1003" t="s">
        <v>16</v>
      </c>
      <c r="O1003">
        <v>90000</v>
      </c>
    </row>
    <row r="1004" spans="14:15" x14ac:dyDescent="0.3">
      <c r="N1004" t="s">
        <v>16</v>
      </c>
      <c r="O1004">
        <v>151872</v>
      </c>
    </row>
    <row r="1005" spans="14:15" x14ac:dyDescent="0.3">
      <c r="N1005" t="s">
        <v>16</v>
      </c>
      <c r="O1005">
        <v>70000</v>
      </c>
    </row>
    <row r="1006" spans="14:15" x14ac:dyDescent="0.3">
      <c r="N1006" t="s">
        <v>16</v>
      </c>
      <c r="O1006">
        <v>57000</v>
      </c>
    </row>
    <row r="1007" spans="14:15" x14ac:dyDescent="0.3">
      <c r="N1007" t="s">
        <v>16</v>
      </c>
      <c r="O1007">
        <v>95000</v>
      </c>
    </row>
    <row r="1008" spans="14:15" x14ac:dyDescent="0.3">
      <c r="N1008" t="s">
        <v>16</v>
      </c>
      <c r="O1008">
        <v>85000</v>
      </c>
    </row>
    <row r="1009" spans="14:15" x14ac:dyDescent="0.3">
      <c r="N1009" t="s">
        <v>16</v>
      </c>
      <c r="O1009">
        <v>80000</v>
      </c>
    </row>
    <row r="1010" spans="14:15" x14ac:dyDescent="0.3">
      <c r="N1010" t="s">
        <v>16</v>
      </c>
      <c r="O1010">
        <v>60000</v>
      </c>
    </row>
    <row r="1011" spans="14:15" x14ac:dyDescent="0.3">
      <c r="N1011" t="s">
        <v>16</v>
      </c>
      <c r="O1011">
        <v>76000</v>
      </c>
    </row>
    <row r="1012" spans="14:15" x14ac:dyDescent="0.3">
      <c r="N1012" t="s">
        <v>16</v>
      </c>
      <c r="O1012">
        <v>60000</v>
      </c>
    </row>
    <row r="1013" spans="14:15" x14ac:dyDescent="0.3">
      <c r="N1013" t="s">
        <v>16</v>
      </c>
      <c r="O1013">
        <v>68000</v>
      </c>
    </row>
    <row r="1014" spans="14:15" x14ac:dyDescent="0.3">
      <c r="N1014" t="s">
        <v>16</v>
      </c>
      <c r="O1014">
        <v>72000</v>
      </c>
    </row>
    <row r="1015" spans="14:15" x14ac:dyDescent="0.3">
      <c r="N1015" t="s">
        <v>16</v>
      </c>
      <c r="O1015">
        <v>88000</v>
      </c>
    </row>
    <row r="1016" spans="14:15" x14ac:dyDescent="0.3">
      <c r="N1016" t="s">
        <v>16</v>
      </c>
      <c r="O1016">
        <v>68000</v>
      </c>
    </row>
    <row r="1017" spans="14:15" x14ac:dyDescent="0.3">
      <c r="N1017" t="s">
        <v>16</v>
      </c>
      <c r="O1017">
        <v>86000</v>
      </c>
    </row>
    <row r="1018" spans="14:15" x14ac:dyDescent="0.3">
      <c r="N1018" t="s">
        <v>16</v>
      </c>
      <c r="O1018">
        <v>62000</v>
      </c>
    </row>
    <row r="1019" spans="14:15" x14ac:dyDescent="0.3">
      <c r="N1019" t="s">
        <v>16</v>
      </c>
      <c r="O1019">
        <v>36000</v>
      </c>
    </row>
    <row r="1020" spans="14:15" x14ac:dyDescent="0.3">
      <c r="N1020" t="s">
        <v>16</v>
      </c>
      <c r="O1020">
        <v>75000</v>
      </c>
    </row>
    <row r="1021" spans="14:15" x14ac:dyDescent="0.3">
      <c r="N1021" t="s">
        <v>16</v>
      </c>
      <c r="O1021">
        <v>69000</v>
      </c>
    </row>
    <row r="1022" spans="14:15" x14ac:dyDescent="0.3">
      <c r="N1022" t="s">
        <v>16</v>
      </c>
      <c r="O1022">
        <v>74000</v>
      </c>
    </row>
    <row r="1023" spans="14:15" x14ac:dyDescent="0.3">
      <c r="N1023" t="s">
        <v>16</v>
      </c>
      <c r="O1023">
        <v>60000</v>
      </c>
    </row>
    <row r="1024" spans="14:15" x14ac:dyDescent="0.3">
      <c r="N1024" t="s">
        <v>16</v>
      </c>
      <c r="O1024">
        <v>71750</v>
      </c>
    </row>
    <row r="1025" spans="14:15" x14ac:dyDescent="0.3">
      <c r="N1025" t="s">
        <v>16</v>
      </c>
      <c r="O1025">
        <v>81000</v>
      </c>
    </row>
    <row r="1026" spans="14:15" x14ac:dyDescent="0.3">
      <c r="N1026" t="s">
        <v>16</v>
      </c>
      <c r="O1026">
        <v>70000</v>
      </c>
    </row>
    <row r="1027" spans="14:15" x14ac:dyDescent="0.3">
      <c r="N1027" t="s">
        <v>16</v>
      </c>
      <c r="O1027">
        <v>65000</v>
      </c>
    </row>
    <row r="1028" spans="14:15" x14ac:dyDescent="0.3">
      <c r="N1028" t="s">
        <v>16</v>
      </c>
      <c r="O1028">
        <v>66000</v>
      </c>
    </row>
    <row r="1029" spans="14:15" x14ac:dyDescent="0.3">
      <c r="N1029" t="s">
        <v>16</v>
      </c>
      <c r="O1029">
        <v>72000</v>
      </c>
    </row>
    <row r="1030" spans="14:15" x14ac:dyDescent="0.3">
      <c r="N1030" t="s">
        <v>16</v>
      </c>
      <c r="O1030">
        <v>83000</v>
      </c>
    </row>
    <row r="1031" spans="14:15" x14ac:dyDescent="0.3">
      <c r="N1031" t="s">
        <v>16</v>
      </c>
      <c r="O1031">
        <v>85000</v>
      </c>
    </row>
    <row r="1032" spans="14:15" x14ac:dyDescent="0.3">
      <c r="N1032" t="s">
        <v>16</v>
      </c>
      <c r="O1032">
        <v>120000</v>
      </c>
    </row>
    <row r="1033" spans="14:15" x14ac:dyDescent="0.3">
      <c r="N1033" t="s">
        <v>16</v>
      </c>
      <c r="O1033">
        <v>61200</v>
      </c>
    </row>
    <row r="1034" spans="14:15" x14ac:dyDescent="0.3">
      <c r="N1034" t="s">
        <v>16</v>
      </c>
      <c r="O1034">
        <v>74000</v>
      </c>
    </row>
    <row r="1035" spans="14:15" x14ac:dyDescent="0.3">
      <c r="N1035" t="s">
        <v>16</v>
      </c>
      <c r="O1035">
        <v>64000</v>
      </c>
    </row>
    <row r="1036" spans="14:15" x14ac:dyDescent="0.3">
      <c r="N1036" t="s">
        <v>16</v>
      </c>
      <c r="O1036">
        <v>81200</v>
      </c>
    </row>
    <row r="1037" spans="14:15" x14ac:dyDescent="0.3">
      <c r="N1037" t="s">
        <v>16</v>
      </c>
      <c r="O1037">
        <v>80000</v>
      </c>
    </row>
    <row r="1038" spans="14:15" x14ac:dyDescent="0.3">
      <c r="N1038" t="s">
        <v>16</v>
      </c>
      <c r="O1038">
        <v>79000</v>
      </c>
    </row>
    <row r="1039" spans="14:15" x14ac:dyDescent="0.3">
      <c r="N1039" t="s">
        <v>16</v>
      </c>
      <c r="O1039">
        <v>65000</v>
      </c>
    </row>
    <row r="1040" spans="14:15" x14ac:dyDescent="0.3">
      <c r="N1040" t="s">
        <v>16</v>
      </c>
      <c r="O1040">
        <v>68000</v>
      </c>
    </row>
    <row r="1041" spans="14:15" x14ac:dyDescent="0.3">
      <c r="N1041" t="s">
        <v>16</v>
      </c>
      <c r="O1041">
        <v>100000</v>
      </c>
    </row>
    <row r="1042" spans="14:15" x14ac:dyDescent="0.3">
      <c r="N1042" t="s">
        <v>16</v>
      </c>
      <c r="O1042">
        <v>100000</v>
      </c>
    </row>
    <row r="1043" spans="14:15" x14ac:dyDescent="0.3">
      <c r="N1043" t="s">
        <v>16</v>
      </c>
      <c r="O1043">
        <v>85000</v>
      </c>
    </row>
    <row r="1044" spans="14:15" x14ac:dyDescent="0.3">
      <c r="N1044" t="s">
        <v>16</v>
      </c>
      <c r="O1044">
        <v>87000</v>
      </c>
    </row>
    <row r="1045" spans="14:15" x14ac:dyDescent="0.3">
      <c r="N1045" t="s">
        <v>16</v>
      </c>
      <c r="O1045">
        <v>80000</v>
      </c>
    </row>
    <row r="1046" spans="14:15" x14ac:dyDescent="0.3">
      <c r="N1046" t="s">
        <v>16</v>
      </c>
      <c r="O1046">
        <v>53000</v>
      </c>
    </row>
    <row r="1047" spans="14:15" x14ac:dyDescent="0.3">
      <c r="N1047" t="s">
        <v>16</v>
      </c>
      <c r="O1047">
        <v>130000</v>
      </c>
    </row>
    <row r="1048" spans="14:15" x14ac:dyDescent="0.3">
      <c r="N1048" t="s">
        <v>16</v>
      </c>
      <c r="O1048">
        <v>90000</v>
      </c>
    </row>
    <row r="1049" spans="14:15" x14ac:dyDescent="0.3">
      <c r="N1049" t="s">
        <v>16</v>
      </c>
      <c r="O1049">
        <v>80000</v>
      </c>
    </row>
    <row r="1050" spans="14:15" x14ac:dyDescent="0.3">
      <c r="N1050" t="s">
        <v>16</v>
      </c>
      <c r="O1050">
        <v>80000</v>
      </c>
    </row>
    <row r="1051" spans="14:15" x14ac:dyDescent="0.3">
      <c r="N1051" t="s">
        <v>16</v>
      </c>
      <c r="O1051">
        <v>85000</v>
      </c>
    </row>
    <row r="1052" spans="14:15" x14ac:dyDescent="0.3">
      <c r="N1052" t="s">
        <v>16</v>
      </c>
      <c r="O1052">
        <v>60000</v>
      </c>
    </row>
    <row r="1053" spans="14:15" x14ac:dyDescent="0.3">
      <c r="N1053" t="s">
        <v>16</v>
      </c>
      <c r="O1053">
        <v>80000</v>
      </c>
    </row>
    <row r="1054" spans="14:15" x14ac:dyDescent="0.3">
      <c r="N1054" t="s">
        <v>16</v>
      </c>
      <c r="O1054">
        <v>75000</v>
      </c>
    </row>
    <row r="1055" spans="14:15" x14ac:dyDescent="0.3">
      <c r="N1055" t="s">
        <v>16</v>
      </c>
      <c r="O1055">
        <v>67500</v>
      </c>
    </row>
    <row r="1056" spans="14:15" x14ac:dyDescent="0.3">
      <c r="N1056" t="s">
        <v>16</v>
      </c>
      <c r="O1056">
        <v>90000</v>
      </c>
    </row>
    <row r="1057" spans="14:15" x14ac:dyDescent="0.3">
      <c r="N1057" t="s">
        <v>16</v>
      </c>
      <c r="O1057">
        <v>75000</v>
      </c>
    </row>
    <row r="1058" spans="14:15" x14ac:dyDescent="0.3">
      <c r="N1058" t="s">
        <v>16</v>
      </c>
      <c r="O1058">
        <v>75000</v>
      </c>
    </row>
    <row r="1059" spans="14:15" x14ac:dyDescent="0.3">
      <c r="N1059" t="s">
        <v>16</v>
      </c>
      <c r="O1059">
        <v>85000</v>
      </c>
    </row>
    <row r="1060" spans="14:15" x14ac:dyDescent="0.3">
      <c r="N1060" t="s">
        <v>16</v>
      </c>
      <c r="O1060">
        <v>78000</v>
      </c>
    </row>
    <row r="1061" spans="14:15" x14ac:dyDescent="0.3">
      <c r="N1061" t="s">
        <v>16</v>
      </c>
      <c r="O1061">
        <v>105000</v>
      </c>
    </row>
    <row r="1062" spans="14:15" x14ac:dyDescent="0.3">
      <c r="N1062" t="s">
        <v>16</v>
      </c>
      <c r="O1062">
        <v>65000</v>
      </c>
    </row>
    <row r="1063" spans="14:15" x14ac:dyDescent="0.3">
      <c r="N1063" t="s">
        <v>16</v>
      </c>
      <c r="O1063">
        <v>75000</v>
      </c>
    </row>
    <row r="1064" spans="14:15" x14ac:dyDescent="0.3">
      <c r="N1064" t="s">
        <v>16</v>
      </c>
      <c r="O1064">
        <v>58000</v>
      </c>
    </row>
    <row r="1065" spans="14:15" x14ac:dyDescent="0.3">
      <c r="N1065" t="s">
        <v>16</v>
      </c>
      <c r="O1065">
        <v>71000</v>
      </c>
    </row>
    <row r="1066" spans="14:15" x14ac:dyDescent="0.3">
      <c r="N1066" t="s">
        <v>16</v>
      </c>
      <c r="O1066">
        <v>105000</v>
      </c>
    </row>
    <row r="1067" spans="14:15" x14ac:dyDescent="0.3">
      <c r="N1067" t="s">
        <v>16</v>
      </c>
      <c r="O1067">
        <v>79000</v>
      </c>
    </row>
    <row r="1068" spans="14:15" x14ac:dyDescent="0.3">
      <c r="N1068" t="s">
        <v>16</v>
      </c>
      <c r="O1068">
        <v>60000</v>
      </c>
    </row>
    <row r="1069" spans="14:15" x14ac:dyDescent="0.3">
      <c r="N1069" t="s">
        <v>16</v>
      </c>
      <c r="O1069">
        <v>95000</v>
      </c>
    </row>
    <row r="1070" spans="14:15" x14ac:dyDescent="0.3">
      <c r="N1070" t="s">
        <v>16</v>
      </c>
      <c r="O1070">
        <v>90000</v>
      </c>
    </row>
    <row r="1071" spans="14:15" x14ac:dyDescent="0.3">
      <c r="N1071" t="s">
        <v>16</v>
      </c>
      <c r="O1071">
        <v>75000</v>
      </c>
    </row>
    <row r="1072" spans="14:15" x14ac:dyDescent="0.3">
      <c r="N1072" t="s">
        <v>16</v>
      </c>
      <c r="O1072">
        <v>103000</v>
      </c>
    </row>
    <row r="1073" spans="14:15" x14ac:dyDescent="0.3">
      <c r="N1073" t="s">
        <v>16</v>
      </c>
      <c r="O1073">
        <v>75000</v>
      </c>
    </row>
    <row r="1074" spans="14:15" x14ac:dyDescent="0.3">
      <c r="N1074" t="s">
        <v>16</v>
      </c>
      <c r="O1074">
        <v>65000</v>
      </c>
    </row>
    <row r="1075" spans="14:15" x14ac:dyDescent="0.3">
      <c r="N1075" t="s">
        <v>16</v>
      </c>
      <c r="O1075">
        <v>85000</v>
      </c>
    </row>
    <row r="1076" spans="14:15" x14ac:dyDescent="0.3">
      <c r="N1076" t="s">
        <v>16</v>
      </c>
      <c r="O1076">
        <v>108000</v>
      </c>
    </row>
    <row r="1077" spans="14:15" x14ac:dyDescent="0.3">
      <c r="N1077" t="s">
        <v>16</v>
      </c>
      <c r="O1077">
        <v>80000</v>
      </c>
    </row>
    <row r="1078" spans="14:15" x14ac:dyDescent="0.3">
      <c r="N1078" t="s">
        <v>16</v>
      </c>
      <c r="O1078">
        <v>81000</v>
      </c>
    </row>
    <row r="1079" spans="14:15" x14ac:dyDescent="0.3">
      <c r="N1079" t="s">
        <v>16</v>
      </c>
      <c r="O1079">
        <v>77000</v>
      </c>
    </row>
    <row r="1080" spans="14:15" x14ac:dyDescent="0.3">
      <c r="N1080" t="s">
        <v>16</v>
      </c>
      <c r="O1080">
        <v>76000</v>
      </c>
    </row>
    <row r="1081" spans="14:15" x14ac:dyDescent="0.3">
      <c r="N1081" t="s">
        <v>16</v>
      </c>
      <c r="O1081">
        <v>65000</v>
      </c>
    </row>
    <row r="1082" spans="14:15" x14ac:dyDescent="0.3">
      <c r="N1082" t="s">
        <v>16</v>
      </c>
      <c r="O1082">
        <v>75000</v>
      </c>
    </row>
    <row r="1083" spans="14:15" x14ac:dyDescent="0.3">
      <c r="N1083" t="s">
        <v>16</v>
      </c>
      <c r="O1083">
        <v>70000</v>
      </c>
    </row>
    <row r="1084" spans="14:15" x14ac:dyDescent="0.3">
      <c r="N1084" t="s">
        <v>16</v>
      </c>
      <c r="O1084">
        <v>70000</v>
      </c>
    </row>
    <row r="1085" spans="14:15" x14ac:dyDescent="0.3">
      <c r="N1085" t="s">
        <v>16</v>
      </c>
      <c r="O1085">
        <v>67500</v>
      </c>
    </row>
    <row r="1086" spans="14:15" x14ac:dyDescent="0.3">
      <c r="N1086" t="s">
        <v>16</v>
      </c>
      <c r="O1086">
        <v>75000</v>
      </c>
    </row>
    <row r="1087" spans="14:15" x14ac:dyDescent="0.3">
      <c r="N1087" t="s">
        <v>16</v>
      </c>
      <c r="O1087">
        <v>70000</v>
      </c>
    </row>
    <row r="1088" spans="14:15" x14ac:dyDescent="0.3">
      <c r="N1088" t="s">
        <v>16</v>
      </c>
      <c r="O1088">
        <v>110000</v>
      </c>
    </row>
    <row r="1089" spans="14:15" x14ac:dyDescent="0.3">
      <c r="N1089" t="s">
        <v>16</v>
      </c>
      <c r="O1089">
        <v>65000</v>
      </c>
    </row>
    <row r="1090" spans="14:15" x14ac:dyDescent="0.3">
      <c r="N1090" t="s">
        <v>16</v>
      </c>
      <c r="O1090">
        <v>70000</v>
      </c>
    </row>
    <row r="1091" spans="14:15" x14ac:dyDescent="0.3">
      <c r="N1091" t="s">
        <v>16</v>
      </c>
      <c r="O1091">
        <v>70000</v>
      </c>
    </row>
    <row r="1092" spans="14:15" x14ac:dyDescent="0.3">
      <c r="N1092" t="s">
        <v>16</v>
      </c>
      <c r="O1092">
        <v>77000</v>
      </c>
    </row>
    <row r="1093" spans="14:15" x14ac:dyDescent="0.3">
      <c r="N1093" t="s">
        <v>16</v>
      </c>
      <c r="O1093">
        <v>80000</v>
      </c>
    </row>
    <row r="1094" spans="14:15" x14ac:dyDescent="0.3">
      <c r="N1094" t="s">
        <v>16</v>
      </c>
      <c r="O1094">
        <v>65000</v>
      </c>
    </row>
    <row r="1095" spans="14:15" x14ac:dyDescent="0.3">
      <c r="N1095" t="s">
        <v>16</v>
      </c>
      <c r="O1095">
        <v>75000</v>
      </c>
    </row>
    <row r="1096" spans="14:15" x14ac:dyDescent="0.3">
      <c r="N1096" t="s">
        <v>16</v>
      </c>
      <c r="O1096">
        <v>78600</v>
      </c>
    </row>
    <row r="1097" spans="14:15" x14ac:dyDescent="0.3">
      <c r="N1097" t="s">
        <v>16</v>
      </c>
      <c r="O1097">
        <v>102000</v>
      </c>
    </row>
    <row r="1098" spans="14:15" x14ac:dyDescent="0.3">
      <c r="N1098" t="s">
        <v>16</v>
      </c>
      <c r="O1098">
        <v>61000</v>
      </c>
    </row>
    <row r="1099" spans="14:15" x14ac:dyDescent="0.3">
      <c r="N1099" t="s">
        <v>16</v>
      </c>
      <c r="O1099">
        <v>74400</v>
      </c>
    </row>
    <row r="1100" spans="14:15" x14ac:dyDescent="0.3">
      <c r="N1100" t="s">
        <v>16</v>
      </c>
      <c r="O1100">
        <v>70500</v>
      </c>
    </row>
    <row r="1101" spans="14:15" x14ac:dyDescent="0.3">
      <c r="N1101" t="s">
        <v>16</v>
      </c>
      <c r="O1101">
        <v>57000</v>
      </c>
    </row>
    <row r="1102" spans="14:15" x14ac:dyDescent="0.3">
      <c r="N1102" t="s">
        <v>16</v>
      </c>
      <c r="O1102">
        <v>75000</v>
      </c>
    </row>
    <row r="1103" spans="14:15" x14ac:dyDescent="0.3">
      <c r="N1103" t="s">
        <v>16</v>
      </c>
      <c r="O1103">
        <v>85000</v>
      </c>
    </row>
    <row r="1104" spans="14:15" x14ac:dyDescent="0.3">
      <c r="N1104" t="s">
        <v>16</v>
      </c>
      <c r="O1104">
        <v>75000</v>
      </c>
    </row>
    <row r="1105" spans="14:15" x14ac:dyDescent="0.3">
      <c r="N1105" t="s">
        <v>16</v>
      </c>
      <c r="O1105">
        <v>60000</v>
      </c>
    </row>
    <row r="1106" spans="14:15" x14ac:dyDescent="0.3">
      <c r="N1106" t="s">
        <v>16</v>
      </c>
      <c r="O1106">
        <v>74000</v>
      </c>
    </row>
    <row r="1107" spans="14:15" x14ac:dyDescent="0.3">
      <c r="N1107" t="s">
        <v>16</v>
      </c>
      <c r="O1107">
        <v>60000</v>
      </c>
    </row>
    <row r="1108" spans="14:15" x14ac:dyDescent="0.3">
      <c r="N1108" t="s">
        <v>16</v>
      </c>
      <c r="O1108">
        <v>62000</v>
      </c>
    </row>
    <row r="1109" spans="14:15" x14ac:dyDescent="0.3">
      <c r="N1109" t="s">
        <v>16</v>
      </c>
      <c r="O1109">
        <v>100000</v>
      </c>
    </row>
    <row r="1110" spans="14:15" x14ac:dyDescent="0.3">
      <c r="N1110" t="s">
        <v>16</v>
      </c>
      <c r="O1110">
        <v>80000</v>
      </c>
    </row>
    <row r="1111" spans="14:15" x14ac:dyDescent="0.3">
      <c r="N1111" t="s">
        <v>16</v>
      </c>
      <c r="O1111">
        <v>63000</v>
      </c>
    </row>
    <row r="1112" spans="14:15" x14ac:dyDescent="0.3">
      <c r="N1112" t="s">
        <v>16</v>
      </c>
      <c r="O1112">
        <v>70000</v>
      </c>
    </row>
    <row r="1113" spans="14:15" x14ac:dyDescent="0.3">
      <c r="N1113" t="s">
        <v>16</v>
      </c>
      <c r="O1113">
        <v>75000</v>
      </c>
    </row>
    <row r="1114" spans="14:15" x14ac:dyDescent="0.3">
      <c r="N1114" t="s">
        <v>16</v>
      </c>
      <c r="O1114">
        <v>78000</v>
      </c>
    </row>
    <row r="1115" spans="14:15" x14ac:dyDescent="0.3">
      <c r="N1115" t="s">
        <v>16</v>
      </c>
      <c r="O1115">
        <v>70000</v>
      </c>
    </row>
    <row r="1116" spans="14:15" x14ac:dyDescent="0.3">
      <c r="N1116" t="s">
        <v>16</v>
      </c>
      <c r="O1116">
        <v>75000</v>
      </c>
    </row>
    <row r="1117" spans="14:15" x14ac:dyDescent="0.3">
      <c r="N1117" t="s">
        <v>16</v>
      </c>
      <c r="O1117">
        <v>87550</v>
      </c>
    </row>
    <row r="1118" spans="14:15" x14ac:dyDescent="0.3">
      <c r="N1118" t="s">
        <v>16</v>
      </c>
      <c r="O1118">
        <v>82000</v>
      </c>
    </row>
    <row r="1119" spans="14:15" x14ac:dyDescent="0.3">
      <c r="N1119" t="s">
        <v>16</v>
      </c>
      <c r="O1119">
        <v>110000</v>
      </c>
    </row>
    <row r="1120" spans="14:15" x14ac:dyDescent="0.3">
      <c r="N1120" t="s">
        <v>16</v>
      </c>
      <c r="O1120">
        <v>70000</v>
      </c>
    </row>
    <row r="1121" spans="14:15" x14ac:dyDescent="0.3">
      <c r="N1121" t="s">
        <v>16</v>
      </c>
      <c r="O1121">
        <v>65000</v>
      </c>
    </row>
    <row r="1122" spans="14:15" x14ac:dyDescent="0.3">
      <c r="N1122" t="s">
        <v>16</v>
      </c>
      <c r="O1122">
        <v>68000</v>
      </c>
    </row>
    <row r="1123" spans="14:15" x14ac:dyDescent="0.3">
      <c r="N1123" t="s">
        <v>16</v>
      </c>
      <c r="O1123">
        <v>80000</v>
      </c>
    </row>
    <row r="1124" spans="14:15" x14ac:dyDescent="0.3">
      <c r="N1124" t="s">
        <v>16</v>
      </c>
      <c r="O1124">
        <v>64000</v>
      </c>
    </row>
    <row r="1125" spans="14:15" x14ac:dyDescent="0.3">
      <c r="N1125" t="s">
        <v>16</v>
      </c>
      <c r="O1125">
        <v>82000</v>
      </c>
    </row>
    <row r="1126" spans="14:15" x14ac:dyDescent="0.3">
      <c r="N1126" t="s">
        <v>16</v>
      </c>
      <c r="O1126">
        <v>60000</v>
      </c>
    </row>
    <row r="1127" spans="14:15" x14ac:dyDescent="0.3">
      <c r="N1127" t="s">
        <v>16</v>
      </c>
      <c r="O1127">
        <v>75000</v>
      </c>
    </row>
    <row r="1128" spans="14:15" x14ac:dyDescent="0.3">
      <c r="N1128" t="s">
        <v>16</v>
      </c>
      <c r="O1128">
        <v>80000</v>
      </c>
    </row>
    <row r="1129" spans="14:15" x14ac:dyDescent="0.3">
      <c r="N1129" t="s">
        <v>16</v>
      </c>
      <c r="O1129">
        <v>72000</v>
      </c>
    </row>
    <row r="1130" spans="14:15" x14ac:dyDescent="0.3">
      <c r="N1130" t="s">
        <v>16</v>
      </c>
      <c r="O1130">
        <v>75000</v>
      </c>
    </row>
    <row r="1131" spans="14:15" x14ac:dyDescent="0.3">
      <c r="N1131" t="s">
        <v>16</v>
      </c>
      <c r="O1131">
        <v>75000</v>
      </c>
    </row>
    <row r="1132" spans="14:15" x14ac:dyDescent="0.3">
      <c r="N1132" t="s">
        <v>16</v>
      </c>
      <c r="O1132">
        <v>75000</v>
      </c>
    </row>
    <row r="1133" spans="14:15" x14ac:dyDescent="0.3">
      <c r="N1133" t="s">
        <v>16</v>
      </c>
      <c r="O1133">
        <v>80000</v>
      </c>
    </row>
    <row r="1134" spans="14:15" x14ac:dyDescent="0.3">
      <c r="N1134" t="s">
        <v>16</v>
      </c>
      <c r="O1134">
        <v>75000</v>
      </c>
    </row>
    <row r="1135" spans="14:15" x14ac:dyDescent="0.3">
      <c r="N1135" t="s">
        <v>16</v>
      </c>
      <c r="O1135">
        <v>60000</v>
      </c>
    </row>
    <row r="1136" spans="14:15" x14ac:dyDescent="0.3">
      <c r="N1136" t="s">
        <v>16</v>
      </c>
      <c r="O1136">
        <v>75000</v>
      </c>
    </row>
    <row r="1137" spans="14:15" x14ac:dyDescent="0.3">
      <c r="N1137" t="s">
        <v>16</v>
      </c>
      <c r="O1137">
        <v>82000</v>
      </c>
    </row>
    <row r="1138" spans="14:15" x14ac:dyDescent="0.3">
      <c r="N1138" t="s">
        <v>16</v>
      </c>
      <c r="O1138">
        <v>68000</v>
      </c>
    </row>
    <row r="1139" spans="14:15" x14ac:dyDescent="0.3">
      <c r="N1139" t="s">
        <v>16</v>
      </c>
      <c r="O1139">
        <v>67000</v>
      </c>
    </row>
    <row r="1140" spans="14:15" x14ac:dyDescent="0.3">
      <c r="N1140" t="s">
        <v>16</v>
      </c>
      <c r="O1140">
        <v>70000</v>
      </c>
    </row>
    <row r="1141" spans="14:15" x14ac:dyDescent="0.3">
      <c r="N1141" t="s">
        <v>16</v>
      </c>
      <c r="O1141">
        <v>56000</v>
      </c>
    </row>
    <row r="1142" spans="14:15" x14ac:dyDescent="0.3">
      <c r="N1142" t="s">
        <v>16</v>
      </c>
      <c r="O1142">
        <v>58000</v>
      </c>
    </row>
    <row r="1143" spans="14:15" x14ac:dyDescent="0.3">
      <c r="N1143" t="s">
        <v>16</v>
      </c>
      <c r="O1143">
        <v>64000</v>
      </c>
    </row>
    <row r="1144" spans="14:15" x14ac:dyDescent="0.3">
      <c r="N1144" t="s">
        <v>16</v>
      </c>
      <c r="O1144">
        <v>63000</v>
      </c>
    </row>
    <row r="1145" spans="14:15" x14ac:dyDescent="0.3">
      <c r="N1145" t="s">
        <v>16</v>
      </c>
      <c r="O1145">
        <v>78000</v>
      </c>
    </row>
    <row r="1146" spans="14:15" x14ac:dyDescent="0.3">
      <c r="N1146" t="s">
        <v>16</v>
      </c>
      <c r="O1146">
        <v>80000</v>
      </c>
    </row>
    <row r="1147" spans="14:15" x14ac:dyDescent="0.3">
      <c r="N1147" t="s">
        <v>16</v>
      </c>
      <c r="O1147">
        <v>78500</v>
      </c>
    </row>
    <row r="1148" spans="14:15" x14ac:dyDescent="0.3">
      <c r="N1148" t="s">
        <v>16</v>
      </c>
      <c r="O1148">
        <v>70000</v>
      </c>
    </row>
    <row r="1149" spans="14:15" x14ac:dyDescent="0.3">
      <c r="N1149" t="s">
        <v>16</v>
      </c>
      <c r="O1149">
        <v>70000</v>
      </c>
    </row>
    <row r="1150" spans="14:15" x14ac:dyDescent="0.3">
      <c r="N1150" t="s">
        <v>16</v>
      </c>
      <c r="O1150">
        <v>76000</v>
      </c>
    </row>
    <row r="1151" spans="14:15" x14ac:dyDescent="0.3">
      <c r="N1151" t="s">
        <v>16</v>
      </c>
      <c r="O1151">
        <v>70000</v>
      </c>
    </row>
    <row r="1152" spans="14:15" x14ac:dyDescent="0.3">
      <c r="N1152" t="s">
        <v>16</v>
      </c>
      <c r="O1152">
        <v>73000</v>
      </c>
    </row>
    <row r="1153" spans="14:15" x14ac:dyDescent="0.3">
      <c r="N1153" t="s">
        <v>16</v>
      </c>
      <c r="O1153">
        <v>74000</v>
      </c>
    </row>
    <row r="1154" spans="14:15" x14ac:dyDescent="0.3">
      <c r="N1154" t="s">
        <v>16</v>
      </c>
      <c r="O1154">
        <v>82000</v>
      </c>
    </row>
    <row r="1155" spans="14:15" x14ac:dyDescent="0.3">
      <c r="N1155" t="s">
        <v>16</v>
      </c>
      <c r="O1155">
        <v>80000</v>
      </c>
    </row>
    <row r="1156" spans="14:15" x14ac:dyDescent="0.3">
      <c r="N1156" t="s">
        <v>16</v>
      </c>
      <c r="O1156">
        <v>80000</v>
      </c>
    </row>
    <row r="1157" spans="14:15" x14ac:dyDescent="0.3">
      <c r="N1157" t="s">
        <v>16</v>
      </c>
      <c r="O1157">
        <v>80000</v>
      </c>
    </row>
    <row r="1158" spans="14:15" x14ac:dyDescent="0.3">
      <c r="N1158" t="s">
        <v>16</v>
      </c>
      <c r="O1158">
        <v>64000</v>
      </c>
    </row>
    <row r="1159" spans="14:15" x14ac:dyDescent="0.3">
      <c r="N1159" t="s">
        <v>16</v>
      </c>
      <c r="O1159">
        <v>55000</v>
      </c>
    </row>
    <row r="1160" spans="14:15" x14ac:dyDescent="0.3">
      <c r="N1160" t="s">
        <v>16</v>
      </c>
      <c r="O1160">
        <v>85000</v>
      </c>
    </row>
    <row r="1161" spans="14:15" x14ac:dyDescent="0.3">
      <c r="N1161" t="s">
        <v>16</v>
      </c>
      <c r="O1161">
        <v>83000</v>
      </c>
    </row>
    <row r="1162" spans="14:15" x14ac:dyDescent="0.3">
      <c r="N1162" t="s">
        <v>16</v>
      </c>
      <c r="O1162">
        <v>72000</v>
      </c>
    </row>
    <row r="1163" spans="14:15" x14ac:dyDescent="0.3">
      <c r="N1163" t="s">
        <v>16</v>
      </c>
      <c r="O1163">
        <v>60000</v>
      </c>
    </row>
    <row r="1164" spans="14:15" x14ac:dyDescent="0.3">
      <c r="N1164" t="s">
        <v>16</v>
      </c>
      <c r="O1164">
        <v>67000</v>
      </c>
    </row>
    <row r="1165" spans="14:15" x14ac:dyDescent="0.3">
      <c r="N1165" t="s">
        <v>16</v>
      </c>
      <c r="O1165">
        <v>48000</v>
      </c>
    </row>
    <row r="1166" spans="14:15" x14ac:dyDescent="0.3">
      <c r="N1166" t="s">
        <v>16</v>
      </c>
      <c r="O1166">
        <v>68000</v>
      </c>
    </row>
    <row r="1167" spans="14:15" x14ac:dyDescent="0.3">
      <c r="N1167" t="s">
        <v>16</v>
      </c>
      <c r="O1167">
        <v>90000</v>
      </c>
    </row>
    <row r="1168" spans="14:15" x14ac:dyDescent="0.3">
      <c r="N1168" t="s">
        <v>16</v>
      </c>
      <c r="O1168">
        <v>80000</v>
      </c>
    </row>
    <row r="1169" spans="14:15" x14ac:dyDescent="0.3">
      <c r="N1169" t="s">
        <v>16</v>
      </c>
      <c r="O1169">
        <v>60000</v>
      </c>
    </row>
    <row r="1170" spans="14:15" x14ac:dyDescent="0.3">
      <c r="N1170" t="s">
        <v>16</v>
      </c>
      <c r="O1170">
        <v>59000</v>
      </c>
    </row>
    <row r="1171" spans="14:15" x14ac:dyDescent="0.3">
      <c r="N1171" t="s">
        <v>16</v>
      </c>
      <c r="O1171">
        <v>46000</v>
      </c>
    </row>
    <row r="1172" spans="14:15" x14ac:dyDescent="0.3">
      <c r="N1172" t="s">
        <v>16</v>
      </c>
      <c r="O1172">
        <v>45600</v>
      </c>
    </row>
    <row r="1173" spans="14:15" x14ac:dyDescent="0.3">
      <c r="N1173" t="s">
        <v>16</v>
      </c>
      <c r="O1173">
        <v>120000</v>
      </c>
    </row>
    <row r="1174" spans="14:15" x14ac:dyDescent="0.3">
      <c r="N1174" t="s">
        <v>16</v>
      </c>
      <c r="O1174">
        <v>45000</v>
      </c>
    </row>
    <row r="1175" spans="14:15" x14ac:dyDescent="0.3">
      <c r="N1175" t="s">
        <v>16</v>
      </c>
      <c r="O1175">
        <v>30000</v>
      </c>
    </row>
    <row r="1176" spans="14:15" x14ac:dyDescent="0.3">
      <c r="N1176" t="s">
        <v>16</v>
      </c>
      <c r="O1176">
        <v>56000</v>
      </c>
    </row>
    <row r="1177" spans="14:15" x14ac:dyDescent="0.3">
      <c r="N1177" t="s">
        <v>16</v>
      </c>
      <c r="O1177">
        <v>70000</v>
      </c>
    </row>
    <row r="1178" spans="14:15" x14ac:dyDescent="0.3">
      <c r="N1178" t="s">
        <v>16</v>
      </c>
      <c r="O1178">
        <v>80000</v>
      </c>
    </row>
    <row r="1179" spans="14:15" x14ac:dyDescent="0.3">
      <c r="N1179" t="s">
        <v>16</v>
      </c>
      <c r="O1179">
        <v>86000</v>
      </c>
    </row>
    <row r="1180" spans="14:15" x14ac:dyDescent="0.3">
      <c r="N1180" t="s">
        <v>16</v>
      </c>
      <c r="O1180">
        <v>70000</v>
      </c>
    </row>
    <row r="1181" spans="14:15" x14ac:dyDescent="0.3">
      <c r="N1181" t="s">
        <v>16</v>
      </c>
      <c r="O1181">
        <v>90000</v>
      </c>
    </row>
    <row r="1182" spans="14:15" x14ac:dyDescent="0.3">
      <c r="N1182" t="s">
        <v>16</v>
      </c>
      <c r="O1182">
        <v>100000</v>
      </c>
    </row>
    <row r="1183" spans="14:15" x14ac:dyDescent="0.3">
      <c r="N1183" t="s">
        <v>16</v>
      </c>
      <c r="O1183">
        <v>82000</v>
      </c>
    </row>
    <row r="1184" spans="14:15" x14ac:dyDescent="0.3">
      <c r="N1184" t="s">
        <v>16</v>
      </c>
      <c r="O1184">
        <v>65000</v>
      </c>
    </row>
    <row r="1185" spans="14:15" x14ac:dyDescent="0.3">
      <c r="N1185" t="s">
        <v>16</v>
      </c>
      <c r="O1185">
        <v>123600</v>
      </c>
    </row>
    <row r="1186" spans="14:15" x14ac:dyDescent="0.3">
      <c r="N1186" t="s">
        <v>16</v>
      </c>
      <c r="O1186">
        <v>90000</v>
      </c>
    </row>
    <row r="1187" spans="14:15" x14ac:dyDescent="0.3">
      <c r="N1187" t="s">
        <v>16</v>
      </c>
      <c r="O1187">
        <v>58800</v>
      </c>
    </row>
    <row r="1188" spans="14:15" x14ac:dyDescent="0.3">
      <c r="N1188" t="s">
        <v>16</v>
      </c>
      <c r="O1188">
        <v>72000</v>
      </c>
    </row>
    <row r="1189" spans="14:15" x14ac:dyDescent="0.3">
      <c r="N1189" t="s">
        <v>16</v>
      </c>
    </row>
    <row r="1190" spans="14:15" x14ac:dyDescent="0.3">
      <c r="N1190" t="s">
        <v>16</v>
      </c>
      <c r="O1190">
        <v>75000</v>
      </c>
    </row>
    <row r="1191" spans="14:15" x14ac:dyDescent="0.3">
      <c r="N1191" t="s">
        <v>16</v>
      </c>
      <c r="O1191">
        <v>72000</v>
      </c>
    </row>
    <row r="1192" spans="14:15" x14ac:dyDescent="0.3">
      <c r="N1192" t="s">
        <v>16</v>
      </c>
      <c r="O1192">
        <v>90000</v>
      </c>
    </row>
    <row r="1193" spans="14:15" x14ac:dyDescent="0.3">
      <c r="N1193" t="s">
        <v>16</v>
      </c>
      <c r="O1193">
        <v>60000</v>
      </c>
    </row>
    <row r="1194" spans="14:15" x14ac:dyDescent="0.3">
      <c r="N1194" t="s">
        <v>16</v>
      </c>
      <c r="O1194">
        <v>99000</v>
      </c>
    </row>
    <row r="1195" spans="14:15" x14ac:dyDescent="0.3">
      <c r="N1195" t="s">
        <v>16</v>
      </c>
      <c r="O1195">
        <v>68000</v>
      </c>
    </row>
    <row r="1196" spans="14:15" x14ac:dyDescent="0.3">
      <c r="N1196" t="s">
        <v>16</v>
      </c>
      <c r="O1196">
        <v>80000</v>
      </c>
    </row>
    <row r="1197" spans="14:15" x14ac:dyDescent="0.3">
      <c r="N1197" t="s">
        <v>16</v>
      </c>
      <c r="O1197">
        <v>180000</v>
      </c>
    </row>
    <row r="1198" spans="14:15" x14ac:dyDescent="0.3">
      <c r="N1198" t="s">
        <v>16</v>
      </c>
      <c r="O1198">
        <v>60000</v>
      </c>
    </row>
    <row r="1199" spans="14:15" x14ac:dyDescent="0.3">
      <c r="N1199" t="s">
        <v>16</v>
      </c>
      <c r="O1199">
        <v>105000</v>
      </c>
    </row>
    <row r="1200" spans="14:15" x14ac:dyDescent="0.3">
      <c r="N1200" t="s">
        <v>16</v>
      </c>
      <c r="O1200">
        <v>60000</v>
      </c>
    </row>
    <row r="1201" spans="14:15" x14ac:dyDescent="0.3">
      <c r="N1201" t="s">
        <v>16</v>
      </c>
      <c r="O1201">
        <v>75000</v>
      </c>
    </row>
    <row r="1202" spans="14:15" x14ac:dyDescent="0.3">
      <c r="N1202" t="s">
        <v>16</v>
      </c>
      <c r="O1202">
        <v>42000</v>
      </c>
    </row>
    <row r="1203" spans="14:15" x14ac:dyDescent="0.3">
      <c r="N1203" t="s">
        <v>16</v>
      </c>
      <c r="O1203">
        <v>87000</v>
      </c>
    </row>
    <row r="1204" spans="14:15" x14ac:dyDescent="0.3">
      <c r="N1204" t="s">
        <v>16</v>
      </c>
      <c r="O1204">
        <v>92000</v>
      </c>
    </row>
    <row r="1205" spans="14:15" x14ac:dyDescent="0.3">
      <c r="N1205" t="s">
        <v>16</v>
      </c>
      <c r="O1205">
        <v>70000</v>
      </c>
    </row>
    <row r="1206" spans="14:15" x14ac:dyDescent="0.3">
      <c r="N1206" t="s">
        <v>16</v>
      </c>
      <c r="O1206">
        <v>60000</v>
      </c>
    </row>
    <row r="1207" spans="14:15" x14ac:dyDescent="0.3">
      <c r="N1207" t="s">
        <v>16</v>
      </c>
      <c r="O1207">
        <v>79000</v>
      </c>
    </row>
    <row r="1208" spans="14:15" x14ac:dyDescent="0.3">
      <c r="N1208" t="s">
        <v>16</v>
      </c>
      <c r="O1208">
        <v>55000</v>
      </c>
    </row>
    <row r="1209" spans="14:15" x14ac:dyDescent="0.3">
      <c r="N1209" t="s">
        <v>16</v>
      </c>
      <c r="O1209">
        <v>80000</v>
      </c>
    </row>
    <row r="1210" spans="14:15" x14ac:dyDescent="0.3">
      <c r="N1210" t="s">
        <v>16</v>
      </c>
      <c r="O1210">
        <v>95000</v>
      </c>
    </row>
    <row r="1211" spans="14:15" x14ac:dyDescent="0.3">
      <c r="N1211" t="s">
        <v>16</v>
      </c>
      <c r="O1211">
        <v>81900</v>
      </c>
    </row>
    <row r="1212" spans="14:15" x14ac:dyDescent="0.3">
      <c r="N1212" t="s">
        <v>16</v>
      </c>
      <c r="O1212">
        <v>70000</v>
      </c>
    </row>
    <row r="1213" spans="14:15" x14ac:dyDescent="0.3">
      <c r="N1213" t="s">
        <v>16</v>
      </c>
      <c r="O1213">
        <v>70000</v>
      </c>
    </row>
    <row r="1214" spans="14:15" x14ac:dyDescent="0.3">
      <c r="N1214" t="s">
        <v>16</v>
      </c>
      <c r="O1214">
        <v>78000</v>
      </c>
    </row>
    <row r="1215" spans="14:15" x14ac:dyDescent="0.3">
      <c r="N1215" t="s">
        <v>16</v>
      </c>
      <c r="O1215">
        <v>62000</v>
      </c>
    </row>
    <row r="1216" spans="14:15" x14ac:dyDescent="0.3">
      <c r="N1216" t="s">
        <v>16</v>
      </c>
      <c r="O1216">
        <v>90000</v>
      </c>
    </row>
    <row r="1217" spans="14:15" x14ac:dyDescent="0.3">
      <c r="N1217" t="s">
        <v>16</v>
      </c>
      <c r="O1217">
        <v>90000</v>
      </c>
    </row>
    <row r="1218" spans="14:15" x14ac:dyDescent="0.3">
      <c r="N1218" t="s">
        <v>16</v>
      </c>
      <c r="O1218">
        <v>65000</v>
      </c>
    </row>
    <row r="1219" spans="14:15" x14ac:dyDescent="0.3">
      <c r="N1219" t="s">
        <v>16</v>
      </c>
      <c r="O1219">
        <v>50000</v>
      </c>
    </row>
    <row r="1220" spans="14:15" x14ac:dyDescent="0.3">
      <c r="N1220" t="s">
        <v>16</v>
      </c>
      <c r="O1220">
        <v>33000</v>
      </c>
    </row>
    <row r="1221" spans="14:15" x14ac:dyDescent="0.3">
      <c r="N1221" t="s">
        <v>16</v>
      </c>
      <c r="O1221">
        <v>90000</v>
      </c>
    </row>
    <row r="1222" spans="14:15" x14ac:dyDescent="0.3">
      <c r="N1222" t="s">
        <v>16</v>
      </c>
      <c r="O1222">
        <v>81000</v>
      </c>
    </row>
    <row r="1223" spans="14:15" x14ac:dyDescent="0.3">
      <c r="N1223" t="s">
        <v>16</v>
      </c>
      <c r="O1223">
        <v>60000</v>
      </c>
    </row>
    <row r="1224" spans="14:15" x14ac:dyDescent="0.3">
      <c r="N1224" t="s">
        <v>16</v>
      </c>
      <c r="O1224">
        <v>100000</v>
      </c>
    </row>
    <row r="1225" spans="14:15" x14ac:dyDescent="0.3">
      <c r="N1225" t="s">
        <v>16</v>
      </c>
      <c r="O1225">
        <v>70000</v>
      </c>
    </row>
    <row r="1226" spans="14:15" x14ac:dyDescent="0.3">
      <c r="N1226" t="s">
        <v>16</v>
      </c>
      <c r="O1226">
        <v>70000</v>
      </c>
    </row>
    <row r="1227" spans="14:15" x14ac:dyDescent="0.3">
      <c r="N1227" t="s">
        <v>16</v>
      </c>
      <c r="O1227">
        <v>70000</v>
      </c>
    </row>
    <row r="1228" spans="14:15" x14ac:dyDescent="0.3">
      <c r="N1228" t="s">
        <v>16</v>
      </c>
      <c r="O1228">
        <v>70000</v>
      </c>
    </row>
    <row r="1229" spans="14:15" x14ac:dyDescent="0.3">
      <c r="N1229" t="s">
        <v>16</v>
      </c>
      <c r="O1229">
        <v>68000</v>
      </c>
    </row>
    <row r="1230" spans="14:15" x14ac:dyDescent="0.3">
      <c r="N1230" t="s">
        <v>16</v>
      </c>
      <c r="O1230">
        <v>26400</v>
      </c>
    </row>
    <row r="1231" spans="14:15" x14ac:dyDescent="0.3">
      <c r="N1231" t="s">
        <v>16</v>
      </c>
      <c r="O1231">
        <v>35000</v>
      </c>
    </row>
    <row r="1232" spans="14:15" x14ac:dyDescent="0.3">
      <c r="N1232" t="s">
        <v>16</v>
      </c>
      <c r="O1232">
        <v>60000</v>
      </c>
    </row>
    <row r="1233" spans="14:15" x14ac:dyDescent="0.3">
      <c r="N1233" t="s">
        <v>16</v>
      </c>
      <c r="O1233">
        <v>150000</v>
      </c>
    </row>
    <row r="1234" spans="14:15" x14ac:dyDescent="0.3">
      <c r="N1234" t="s">
        <v>16</v>
      </c>
      <c r="O1234">
        <v>68000</v>
      </c>
    </row>
    <row r="1235" spans="14:15" x14ac:dyDescent="0.3">
      <c r="N1235" t="s">
        <v>16</v>
      </c>
      <c r="O1235">
        <v>36000</v>
      </c>
    </row>
    <row r="1236" spans="14:15" x14ac:dyDescent="0.3">
      <c r="N1236" t="s">
        <v>16</v>
      </c>
      <c r="O1236">
        <v>75000</v>
      </c>
    </row>
    <row r="1237" spans="14:15" x14ac:dyDescent="0.3">
      <c r="N1237" t="s">
        <v>16</v>
      </c>
      <c r="O1237">
        <v>70000</v>
      </c>
    </row>
    <row r="1238" spans="14:15" x14ac:dyDescent="0.3">
      <c r="N1238" t="s">
        <v>402</v>
      </c>
      <c r="O1238">
        <v>16320</v>
      </c>
    </row>
    <row r="1239" spans="14:15" x14ac:dyDescent="0.3">
      <c r="N1239" t="s">
        <v>271</v>
      </c>
      <c r="O1239">
        <v>12000</v>
      </c>
    </row>
    <row r="1240" spans="14:15" x14ac:dyDescent="0.3">
      <c r="N1240" t="s">
        <v>101</v>
      </c>
      <c r="O1240">
        <v>100000</v>
      </c>
    </row>
    <row r="1241" spans="14:15" x14ac:dyDescent="0.3">
      <c r="N1241" t="s">
        <v>115</v>
      </c>
      <c r="O1241">
        <v>68000</v>
      </c>
    </row>
    <row r="1242" spans="14:15" x14ac:dyDescent="0.3">
      <c r="N1242" t="s">
        <v>348</v>
      </c>
      <c r="O1242">
        <v>14400</v>
      </c>
    </row>
  </sheetData>
  <mergeCells count="2">
    <mergeCell ref="A1:J1"/>
    <mergeCell ref="B7:G8"/>
  </mergeCells>
  <pageMargins left="0.511811024" right="0.511811024" top="0.78740157499999996" bottom="0.78740157499999996" header="0.31496062000000002" footer="0.31496062000000002"/>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FF76-5918-4441-9CB6-A561BF99F34E}">
  <dimension ref="B2:G22"/>
  <sheetViews>
    <sheetView showGridLines="0" workbookViewId="0">
      <selection activeCell="F26" sqref="F26"/>
    </sheetView>
  </sheetViews>
  <sheetFormatPr defaultRowHeight="14.4" x14ac:dyDescent="0.3"/>
  <cols>
    <col min="2" max="2" width="13.44140625" customWidth="1"/>
    <col min="3" max="3" width="9.88671875" bestFit="1" customWidth="1"/>
    <col min="4" max="4" width="9.5546875" bestFit="1" customWidth="1"/>
    <col min="5" max="5" width="11.77734375" bestFit="1" customWidth="1"/>
  </cols>
  <sheetData>
    <row r="2" spans="2:5" x14ac:dyDescent="0.3">
      <c r="B2" s="137" t="s">
        <v>531</v>
      </c>
      <c r="C2" s="137"/>
      <c r="D2" s="137"/>
      <c r="E2" s="137"/>
    </row>
    <row r="3" spans="2:5" x14ac:dyDescent="0.3">
      <c r="B3" s="137"/>
      <c r="C3" s="137"/>
      <c r="D3" s="137"/>
      <c r="E3" s="137"/>
    </row>
    <row r="4" spans="2:5" x14ac:dyDescent="0.3">
      <c r="B4" s="16" t="s">
        <v>426</v>
      </c>
      <c r="C4" s="16" t="s">
        <v>427</v>
      </c>
      <c r="D4" s="16" t="s">
        <v>428</v>
      </c>
      <c r="E4" s="16" t="s">
        <v>429</v>
      </c>
    </row>
    <row r="5" spans="2:5" x14ac:dyDescent="0.3">
      <c r="B5" s="26" t="s">
        <v>420</v>
      </c>
      <c r="C5" s="7">
        <f>COUNTIF(Tabela1[Age], "&lt;30")</f>
        <v>382</v>
      </c>
      <c r="D5" s="24">
        <f>C5/$C$10</f>
        <v>0.31158238172920066</v>
      </c>
      <c r="E5" s="25">
        <f>D5*100</f>
        <v>31.158238172920065</v>
      </c>
    </row>
    <row r="6" spans="2:5" x14ac:dyDescent="0.3">
      <c r="B6" s="27" t="s">
        <v>421</v>
      </c>
      <c r="C6" s="14">
        <f>COUNTIFS(Tabela1[Age],"&gt;=30",Tabela1[Age],"&lt;40")</f>
        <v>721</v>
      </c>
      <c r="D6" s="22">
        <f t="shared" ref="D6:D10" si="0">C6/$C$10</f>
        <v>0.5880913539967374</v>
      </c>
      <c r="E6" s="23">
        <f t="shared" ref="E6:E10" si="1">D6*100</f>
        <v>58.809135399673742</v>
      </c>
    </row>
    <row r="7" spans="2:5" x14ac:dyDescent="0.3">
      <c r="B7" s="27" t="s">
        <v>422</v>
      </c>
      <c r="C7" s="14">
        <f>COUNTIFS(Tabela1[Age],"&gt;=40",Tabela1[Age],"&lt;50")</f>
        <v>111</v>
      </c>
      <c r="D7" s="22">
        <f t="shared" si="0"/>
        <v>9.0538336052202281E-2</v>
      </c>
      <c r="E7" s="23">
        <f t="shared" si="1"/>
        <v>9.0538336052202286</v>
      </c>
    </row>
    <row r="8" spans="2:5" x14ac:dyDescent="0.3">
      <c r="B8" s="27" t="s">
        <v>423</v>
      </c>
      <c r="C8" s="14">
        <f>COUNTIFS(Tabela1[Age],"&gt;=50",Tabela1[Age],"&lt;60")</f>
        <v>9</v>
      </c>
      <c r="D8" s="22">
        <f t="shared" si="0"/>
        <v>7.34094616639478E-3</v>
      </c>
      <c r="E8" s="23">
        <f t="shared" si="1"/>
        <v>0.73409461663947795</v>
      </c>
    </row>
    <row r="9" spans="2:5" x14ac:dyDescent="0.3">
      <c r="B9" s="83" t="s">
        <v>424</v>
      </c>
      <c r="C9" s="84">
        <f>COUNTIFS(Tabela1[Age],"&gt;=60",Tabela1[Age],"&lt;70")</f>
        <v>3</v>
      </c>
      <c r="D9" s="85">
        <f t="shared" si="0"/>
        <v>2.4469820554649264E-3</v>
      </c>
      <c r="E9" s="86">
        <f t="shared" si="1"/>
        <v>0.24469820554649263</v>
      </c>
    </row>
    <row r="10" spans="2:5" x14ac:dyDescent="0.3">
      <c r="B10" s="87" t="s">
        <v>425</v>
      </c>
      <c r="C10" s="88">
        <f>SUM(C5:C9)</f>
        <v>1226</v>
      </c>
      <c r="D10" s="89">
        <f t="shared" si="0"/>
        <v>1</v>
      </c>
      <c r="E10" s="90">
        <f t="shared" si="1"/>
        <v>100</v>
      </c>
    </row>
    <row r="12" spans="2:5" ht="14.4" customHeight="1" x14ac:dyDescent="0.3">
      <c r="B12" s="138" t="s">
        <v>488</v>
      </c>
      <c r="C12" s="139"/>
    </row>
    <row r="13" spans="2:5" x14ac:dyDescent="0.3">
      <c r="B13" s="140"/>
      <c r="C13" s="141"/>
    </row>
    <row r="14" spans="2:5" x14ac:dyDescent="0.3">
      <c r="B14" s="142"/>
      <c r="C14" s="143"/>
    </row>
    <row r="15" spans="2:5" x14ac:dyDescent="0.3">
      <c r="B15" s="34" t="s">
        <v>487</v>
      </c>
      <c r="C15" s="15">
        <f>_xlfn.MODE.SNGL(Tabela1[Age])</f>
        <v>30</v>
      </c>
    </row>
    <row r="16" spans="2:5" x14ac:dyDescent="0.3">
      <c r="B16" s="20" t="s">
        <v>482</v>
      </c>
      <c r="C16" s="15">
        <f>AVERAGE(Tabela1[Age])</f>
        <v>32.509787928221861</v>
      </c>
    </row>
    <row r="17" spans="2:7" x14ac:dyDescent="0.3">
      <c r="B17" s="20" t="s">
        <v>483</v>
      </c>
      <c r="C17" s="15">
        <f>MEDIAN(Tabela1[Age])</f>
        <v>32</v>
      </c>
    </row>
    <row r="18" spans="2:7" x14ac:dyDescent="0.3">
      <c r="B18" s="20" t="s">
        <v>484</v>
      </c>
      <c r="C18" s="15">
        <f>_xlfn.VAR.P(Tabela1[Age])</f>
        <v>32.052514310653621</v>
      </c>
    </row>
    <row r="19" spans="2:7" x14ac:dyDescent="0.3">
      <c r="B19" s="20" t="s">
        <v>485</v>
      </c>
      <c r="C19" s="15">
        <f>_xlfn.STDEV.P(Tabela1[Age])</f>
        <v>5.6614939998779139</v>
      </c>
    </row>
    <row r="20" spans="2:7" x14ac:dyDescent="0.3">
      <c r="B20" s="18" t="s">
        <v>486</v>
      </c>
      <c r="C20" s="33">
        <f>AVEDEV(Tabela1[Age])</f>
        <v>4.2888862572484667</v>
      </c>
      <c r="F20" s="28"/>
      <c r="G20" s="28"/>
    </row>
    <row r="21" spans="2:7" x14ac:dyDescent="0.3">
      <c r="F21" s="29"/>
      <c r="G21" s="29"/>
    </row>
    <row r="22" spans="2:7" x14ac:dyDescent="0.3">
      <c r="F22" s="29"/>
      <c r="G22" s="29"/>
    </row>
  </sheetData>
  <mergeCells count="2">
    <mergeCell ref="B2:E3"/>
    <mergeCell ref="B12:C14"/>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FD16-5ADC-4976-B19D-517F4700B91A}">
  <dimension ref="B2:E13"/>
  <sheetViews>
    <sheetView showGridLines="0" workbookViewId="0"/>
  </sheetViews>
  <sheetFormatPr defaultRowHeight="14.4" x14ac:dyDescent="0.3"/>
  <cols>
    <col min="2" max="2" width="9.33203125" bestFit="1" customWidth="1"/>
    <col min="3" max="3" width="14" customWidth="1"/>
    <col min="4" max="4" width="12.5546875" bestFit="1" customWidth="1"/>
    <col min="5" max="5" width="13.6640625" bestFit="1" customWidth="1"/>
  </cols>
  <sheetData>
    <row r="2" spans="2:5" x14ac:dyDescent="0.3">
      <c r="B2" s="137" t="s">
        <v>532</v>
      </c>
      <c r="C2" s="137"/>
      <c r="D2" s="137"/>
      <c r="E2" s="137"/>
    </row>
    <row r="3" spans="2:5" x14ac:dyDescent="0.3">
      <c r="B3" s="137"/>
      <c r="C3" s="137"/>
      <c r="D3" s="137"/>
      <c r="E3" s="137"/>
    </row>
    <row r="4" spans="2:5" x14ac:dyDescent="0.3">
      <c r="B4" s="16" t="s">
        <v>430</v>
      </c>
      <c r="C4" s="16" t="s">
        <v>427</v>
      </c>
      <c r="D4" s="16" t="s">
        <v>428</v>
      </c>
      <c r="E4" s="16" t="s">
        <v>429</v>
      </c>
    </row>
    <row r="5" spans="2:5" x14ac:dyDescent="0.3">
      <c r="B5" s="34" t="s">
        <v>431</v>
      </c>
      <c r="C5" s="30">
        <f>COUNTIF(Tabela1[Gender],"male")</f>
        <v>1049</v>
      </c>
      <c r="D5" s="35">
        <f>C5/$C$7</f>
        <v>0.84528605962933123</v>
      </c>
      <c r="E5" s="21">
        <f>D5*100</f>
        <v>84.528605962933128</v>
      </c>
    </row>
    <row r="6" spans="2:5" x14ac:dyDescent="0.3">
      <c r="B6" s="20" t="s">
        <v>432</v>
      </c>
      <c r="C6" s="30">
        <f>COUNTIF(Tabela1[Gender],"female")</f>
        <v>192</v>
      </c>
      <c r="D6" s="35">
        <f t="shared" ref="D6:D7" si="0">C6/$C$7</f>
        <v>0.15471394037066882</v>
      </c>
      <c r="E6" s="21">
        <f t="shared" ref="E6:E7" si="1">D6*100</f>
        <v>15.471394037066883</v>
      </c>
    </row>
    <row r="7" spans="2:5" x14ac:dyDescent="0.3">
      <c r="B7" s="18" t="s">
        <v>425</v>
      </c>
      <c r="C7" s="8">
        <f>C5+C6</f>
        <v>1241</v>
      </c>
      <c r="D7" s="8">
        <f t="shared" si="0"/>
        <v>1</v>
      </c>
      <c r="E7" s="33">
        <f t="shared" si="1"/>
        <v>100</v>
      </c>
    </row>
    <row r="10" spans="2:5" x14ac:dyDescent="0.3">
      <c r="B10" s="138" t="s">
        <v>489</v>
      </c>
      <c r="C10" s="139"/>
    </row>
    <row r="11" spans="2:5" x14ac:dyDescent="0.3">
      <c r="B11" s="140"/>
      <c r="C11" s="141"/>
    </row>
    <row r="12" spans="2:5" x14ac:dyDescent="0.3">
      <c r="B12" s="142"/>
      <c r="C12" s="143"/>
    </row>
    <row r="13" spans="2:5" x14ac:dyDescent="0.3">
      <c r="B13" s="17" t="s">
        <v>487</v>
      </c>
      <c r="C13" s="33" t="s">
        <v>431</v>
      </c>
    </row>
  </sheetData>
  <mergeCells count="2">
    <mergeCell ref="B2:E3"/>
    <mergeCell ref="B10:C12"/>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B030F-F451-4797-A72C-E20F1638962F}">
  <dimension ref="B1:E18"/>
  <sheetViews>
    <sheetView showGridLines="0" workbookViewId="0">
      <selection activeCell="N24" sqref="N24"/>
    </sheetView>
  </sheetViews>
  <sheetFormatPr defaultRowHeight="14.4" x14ac:dyDescent="0.3"/>
  <cols>
    <col min="2" max="2" width="11.109375" customWidth="1"/>
    <col min="3" max="3" width="16.6640625" bestFit="1" customWidth="1"/>
    <col min="4" max="4" width="13.6640625" bestFit="1" customWidth="1"/>
    <col min="5" max="5" width="15.6640625" bestFit="1" customWidth="1"/>
  </cols>
  <sheetData>
    <row r="1" spans="2:5" x14ac:dyDescent="0.3">
      <c r="B1" s="137" t="s">
        <v>533</v>
      </c>
      <c r="C1" s="137"/>
      <c r="D1" s="137"/>
      <c r="E1" s="137"/>
    </row>
    <row r="2" spans="2:5" ht="13.8" customHeight="1" x14ac:dyDescent="0.3">
      <c r="B2" s="137"/>
      <c r="C2" s="137"/>
      <c r="D2" s="137"/>
      <c r="E2" s="137"/>
    </row>
    <row r="3" spans="2:5" x14ac:dyDescent="0.3">
      <c r="B3" s="16" t="s">
        <v>492</v>
      </c>
      <c r="C3" s="16" t="s">
        <v>427</v>
      </c>
      <c r="D3" s="16" t="s">
        <v>428</v>
      </c>
      <c r="E3" s="16" t="s">
        <v>429</v>
      </c>
    </row>
    <row r="4" spans="2:5" x14ac:dyDescent="0.3">
      <c r="B4" s="40" t="s">
        <v>20</v>
      </c>
      <c r="C4" s="37">
        <v>681</v>
      </c>
      <c r="D4" s="35">
        <f>C4/$C$13</f>
        <v>0.5430622009569378</v>
      </c>
      <c r="E4" s="21">
        <f>D4*100</f>
        <v>54.306220095693782</v>
      </c>
    </row>
    <row r="5" spans="2:5" x14ac:dyDescent="0.3">
      <c r="B5" s="41" t="s">
        <v>14</v>
      </c>
      <c r="C5" s="37">
        <v>236</v>
      </c>
      <c r="D5" s="35">
        <f t="shared" ref="D5:D13" si="0">C5/$C$13</f>
        <v>0.18819776714513556</v>
      </c>
      <c r="E5" s="21">
        <f t="shared" ref="E5:E13" si="1">D5*100</f>
        <v>18.819776714513555</v>
      </c>
    </row>
    <row r="6" spans="2:5" x14ac:dyDescent="0.3">
      <c r="B6" s="41" t="s">
        <v>70</v>
      </c>
      <c r="C6" s="37">
        <v>44</v>
      </c>
      <c r="D6" s="35">
        <f t="shared" si="0"/>
        <v>3.5087719298245612E-2</v>
      </c>
      <c r="E6" s="21">
        <f t="shared" si="1"/>
        <v>3.5087719298245612</v>
      </c>
    </row>
    <row r="7" spans="2:5" x14ac:dyDescent="0.3">
      <c r="B7" s="41" t="s">
        <v>34</v>
      </c>
      <c r="C7" s="37">
        <v>43</v>
      </c>
      <c r="D7" s="35">
        <f t="shared" si="0"/>
        <v>3.4290271132376399E-2</v>
      </c>
      <c r="E7" s="21">
        <f t="shared" si="1"/>
        <v>3.4290271132376398</v>
      </c>
    </row>
    <row r="8" spans="2:5" x14ac:dyDescent="0.3">
      <c r="B8" s="41" t="s">
        <v>59</v>
      </c>
      <c r="C8" s="37">
        <v>33</v>
      </c>
      <c r="D8" s="35">
        <f t="shared" si="0"/>
        <v>2.6315789473684209E-2</v>
      </c>
      <c r="E8" s="21">
        <f t="shared" si="1"/>
        <v>2.6315789473684208</v>
      </c>
    </row>
    <row r="9" spans="2:5" x14ac:dyDescent="0.3">
      <c r="B9" s="41" t="s">
        <v>84</v>
      </c>
      <c r="C9" s="37">
        <v>20</v>
      </c>
      <c r="D9" s="35">
        <f t="shared" si="0"/>
        <v>1.5948963317384369E-2</v>
      </c>
      <c r="E9" s="21">
        <f t="shared" si="1"/>
        <v>1.5948963317384368</v>
      </c>
    </row>
    <row r="10" spans="2:5" x14ac:dyDescent="0.3">
      <c r="B10" s="41" t="s">
        <v>121</v>
      </c>
      <c r="C10" s="37">
        <v>10</v>
      </c>
      <c r="D10" s="35">
        <f t="shared" si="0"/>
        <v>7.9744816586921844E-3</v>
      </c>
      <c r="E10" s="21">
        <f t="shared" si="1"/>
        <v>0.79744816586921841</v>
      </c>
    </row>
    <row r="11" spans="2:5" x14ac:dyDescent="0.3">
      <c r="B11" s="41" t="s">
        <v>199</v>
      </c>
      <c r="C11" s="37">
        <v>9</v>
      </c>
      <c r="D11" s="35">
        <f t="shared" si="0"/>
        <v>7.1770334928229667E-3</v>
      </c>
      <c r="E11" s="21">
        <f t="shared" si="1"/>
        <v>0.71770334928229662</v>
      </c>
    </row>
    <row r="12" spans="2:5" x14ac:dyDescent="0.3">
      <c r="B12" s="41" t="s">
        <v>433</v>
      </c>
      <c r="C12" s="37">
        <f>C13-SUM(C4:C11)</f>
        <v>178</v>
      </c>
      <c r="D12" s="35">
        <f t="shared" si="0"/>
        <v>0.1419457735247209</v>
      </c>
      <c r="E12" s="21">
        <f t="shared" si="1"/>
        <v>14.19457735247209</v>
      </c>
    </row>
    <row r="13" spans="2:5" x14ac:dyDescent="0.3">
      <c r="B13" s="42" t="s">
        <v>425</v>
      </c>
      <c r="C13" s="38">
        <v>1254</v>
      </c>
      <c r="D13" s="39">
        <f t="shared" si="0"/>
        <v>1</v>
      </c>
      <c r="E13" s="19">
        <f t="shared" si="1"/>
        <v>100</v>
      </c>
    </row>
    <row r="15" spans="2:5" x14ac:dyDescent="0.3">
      <c r="B15" s="138" t="s">
        <v>490</v>
      </c>
      <c r="C15" s="139"/>
    </row>
    <row r="16" spans="2:5" x14ac:dyDescent="0.3">
      <c r="B16" s="140"/>
      <c r="C16" s="141"/>
    </row>
    <row r="17" spans="2:3" x14ac:dyDescent="0.3">
      <c r="B17" s="142"/>
      <c r="C17" s="143"/>
    </row>
    <row r="18" spans="2:3" x14ac:dyDescent="0.3">
      <c r="B18" s="17" t="s">
        <v>487</v>
      </c>
      <c r="C18" s="33" t="s">
        <v>20</v>
      </c>
    </row>
  </sheetData>
  <mergeCells count="2">
    <mergeCell ref="B1:E2"/>
    <mergeCell ref="B15:C1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78FD-202F-4618-9F73-291B677B4B52}">
  <dimension ref="B1:E23"/>
  <sheetViews>
    <sheetView showGridLines="0" workbookViewId="0">
      <selection activeCell="E17" sqref="E17"/>
    </sheetView>
  </sheetViews>
  <sheetFormatPr defaultRowHeight="14.4" x14ac:dyDescent="0.3"/>
  <cols>
    <col min="2" max="2" width="18.21875" bestFit="1" customWidth="1"/>
    <col min="3" max="3" width="16.109375" customWidth="1"/>
    <col min="4" max="4" width="9.5546875" bestFit="1" customWidth="1"/>
    <col min="5" max="5" width="11.77734375" bestFit="1" customWidth="1"/>
    <col min="7" max="7" width="18.21875" bestFit="1" customWidth="1"/>
    <col min="8" max="8" width="9.88671875" bestFit="1" customWidth="1"/>
    <col min="9" max="9" width="9.5546875" bestFit="1" customWidth="1"/>
    <col min="10" max="10" width="11.77734375" bestFit="1" customWidth="1"/>
  </cols>
  <sheetData>
    <row r="1" spans="2:5" ht="14.4" customHeight="1" x14ac:dyDescent="0.3">
      <c r="B1" s="137" t="s">
        <v>534</v>
      </c>
      <c r="C1" s="137"/>
      <c r="D1" s="137"/>
      <c r="E1" s="137"/>
    </row>
    <row r="2" spans="2:5" x14ac:dyDescent="0.3">
      <c r="B2" s="137"/>
      <c r="C2" s="137"/>
      <c r="D2" s="137"/>
      <c r="E2" s="137"/>
    </row>
    <row r="3" spans="2:5" x14ac:dyDescent="0.3">
      <c r="B3" s="16" t="s">
        <v>491</v>
      </c>
      <c r="C3" s="16" t="s">
        <v>427</v>
      </c>
      <c r="D3" s="16" t="s">
        <v>428</v>
      </c>
      <c r="E3" s="16" t="s">
        <v>429</v>
      </c>
    </row>
    <row r="4" spans="2:5" x14ac:dyDescent="0.3">
      <c r="B4" s="31" t="s">
        <v>15</v>
      </c>
      <c r="C4" s="37">
        <f>COUNTIF(Tabela1[[Position ]],B4)</f>
        <v>387</v>
      </c>
      <c r="D4" s="35">
        <f>C4/$C$18</f>
        <v>0.31009615384615385</v>
      </c>
      <c r="E4" s="21">
        <f>D4*100</f>
        <v>31.009615384615387</v>
      </c>
    </row>
    <row r="5" spans="2:5" x14ac:dyDescent="0.3">
      <c r="B5" s="36" t="s">
        <v>21</v>
      </c>
      <c r="C5" s="37">
        <f>COUNTIF(Tabela1[[Position ]],B5)</f>
        <v>174</v>
      </c>
      <c r="D5" s="35">
        <f t="shared" ref="D5:D18" si="0">C5/$C$18</f>
        <v>0.13942307692307693</v>
      </c>
      <c r="E5" s="21">
        <f t="shared" ref="E5:E6" si="1">D5*100</f>
        <v>13.942307692307693</v>
      </c>
    </row>
    <row r="6" spans="2:5" x14ac:dyDescent="0.3">
      <c r="B6" s="36" t="s">
        <v>53</v>
      </c>
      <c r="C6" s="37">
        <f>COUNTIF(Tabela1[[Position ]],B6)</f>
        <v>110</v>
      </c>
      <c r="D6" s="35">
        <f t="shared" si="0"/>
        <v>8.8141025641025647E-2</v>
      </c>
      <c r="E6" s="21">
        <f t="shared" si="1"/>
        <v>8.8141025641025639</v>
      </c>
    </row>
    <row r="7" spans="2:5" x14ac:dyDescent="0.3">
      <c r="B7" s="36" t="s">
        <v>25</v>
      </c>
      <c r="C7" s="37">
        <f>COUNTIF(Tabela1[[Position ]],B7)</f>
        <v>89</v>
      </c>
      <c r="D7" s="35">
        <f t="shared" si="0"/>
        <v>7.1314102564102561E-2</v>
      </c>
      <c r="E7" s="21">
        <f>D7*100</f>
        <v>7.1314102564102564</v>
      </c>
    </row>
    <row r="8" spans="2:5" x14ac:dyDescent="0.3">
      <c r="B8" s="31" t="s">
        <v>52</v>
      </c>
      <c r="C8" s="37">
        <f>COUNTIF(Tabela1[[Position ]],B8)</f>
        <v>71</v>
      </c>
      <c r="D8" s="35">
        <f t="shared" si="0"/>
        <v>5.689102564102564E-2</v>
      </c>
      <c r="E8" s="21">
        <f>D8*100</f>
        <v>5.6891025641025639</v>
      </c>
    </row>
    <row r="9" spans="2:5" x14ac:dyDescent="0.3">
      <c r="B9" s="36" t="s">
        <v>27</v>
      </c>
      <c r="C9" s="37">
        <f>COUNTIF(Tabela1[[Position ]],B9)</f>
        <v>57</v>
      </c>
      <c r="D9" s="35">
        <f t="shared" si="0"/>
        <v>4.567307692307692E-2</v>
      </c>
      <c r="E9" s="21">
        <f>D9*100</f>
        <v>4.5673076923076916</v>
      </c>
    </row>
    <row r="10" spans="2:5" x14ac:dyDescent="0.3">
      <c r="B10" s="36" t="s">
        <v>43</v>
      </c>
      <c r="C10" s="37">
        <f>COUNTIF(Tabela1[[Position ]],B10)</f>
        <v>53</v>
      </c>
      <c r="D10" s="35">
        <f t="shared" si="0"/>
        <v>4.246794871794872E-2</v>
      </c>
      <c r="E10" s="21">
        <f>D10*100</f>
        <v>4.2467948717948723</v>
      </c>
    </row>
    <row r="11" spans="2:5" x14ac:dyDescent="0.3">
      <c r="B11" s="31" t="s">
        <v>81</v>
      </c>
      <c r="C11" s="37">
        <f>COUNTIF(Tabela1[[Position ]],B11)</f>
        <v>42</v>
      </c>
      <c r="D11" s="35">
        <f t="shared" si="0"/>
        <v>3.3653846153846152E-2</v>
      </c>
      <c r="E11" s="21">
        <f t="shared" ref="E11" si="2">D11*100</f>
        <v>3.3653846153846154</v>
      </c>
    </row>
    <row r="12" spans="2:5" x14ac:dyDescent="0.3">
      <c r="B12" s="31" t="s">
        <v>41</v>
      </c>
      <c r="C12" s="37">
        <f>COUNTIF(Tabela1[[Position ]],B12)</f>
        <v>39</v>
      </c>
      <c r="D12" s="35">
        <f t="shared" si="0"/>
        <v>3.125E-2</v>
      </c>
      <c r="E12" s="21">
        <f>D12*100</f>
        <v>3.125</v>
      </c>
    </row>
    <row r="13" spans="2:5" x14ac:dyDescent="0.3">
      <c r="B13" s="36" t="s">
        <v>35</v>
      </c>
      <c r="C13" s="37">
        <f>COUNTIF(Tabela1[[Position ]],B13)</f>
        <v>26</v>
      </c>
      <c r="D13" s="35">
        <f t="shared" si="0"/>
        <v>2.0833333333333332E-2</v>
      </c>
      <c r="E13" s="21">
        <f>D13*100</f>
        <v>2.083333333333333</v>
      </c>
    </row>
    <row r="14" spans="2:5" x14ac:dyDescent="0.3">
      <c r="B14" s="36" t="s">
        <v>38</v>
      </c>
      <c r="C14" s="37">
        <f>COUNTIF(Tabela1[[Position ]],B14)</f>
        <v>16</v>
      </c>
      <c r="D14" s="35">
        <f t="shared" si="0"/>
        <v>1.282051282051282E-2</v>
      </c>
      <c r="E14" s="21">
        <f t="shared" ref="E14:E17" si="3">D14*100</f>
        <v>1.2820512820512819</v>
      </c>
    </row>
    <row r="15" spans="2:5" x14ac:dyDescent="0.3">
      <c r="B15" s="36" t="s">
        <v>231</v>
      </c>
      <c r="C15" s="37">
        <f>COUNTIF(Tabela1[[Position ]],B15)</f>
        <v>8</v>
      </c>
      <c r="D15" s="35">
        <f t="shared" si="0"/>
        <v>6.41025641025641E-3</v>
      </c>
      <c r="E15" s="21">
        <f t="shared" si="3"/>
        <v>0.64102564102564097</v>
      </c>
    </row>
    <row r="16" spans="2:5" x14ac:dyDescent="0.3">
      <c r="B16" s="36" t="s">
        <v>69</v>
      </c>
      <c r="C16" s="37">
        <f>COUNTIF(Tabela1[[Position ]],B16)</f>
        <v>11</v>
      </c>
      <c r="D16" s="35">
        <f t="shared" si="0"/>
        <v>8.814102564102564E-3</v>
      </c>
      <c r="E16" s="21">
        <f t="shared" si="3"/>
        <v>0.88141025641025639</v>
      </c>
    </row>
    <row r="17" spans="2:5" x14ac:dyDescent="0.3">
      <c r="B17" s="31" t="s">
        <v>433</v>
      </c>
      <c r="C17" s="37">
        <f>C18-SUM(C4:C16)</f>
        <v>165</v>
      </c>
      <c r="D17" s="35">
        <f t="shared" si="0"/>
        <v>0.13221153846153846</v>
      </c>
      <c r="E17" s="21">
        <f t="shared" si="3"/>
        <v>13.221153846153847</v>
      </c>
    </row>
    <row r="18" spans="2:5" x14ac:dyDescent="0.3">
      <c r="B18" s="32" t="s">
        <v>425</v>
      </c>
      <c r="C18" s="8">
        <f>COUNTA(Tabela1[[Position ]])</f>
        <v>1248</v>
      </c>
      <c r="D18" s="35">
        <f t="shared" si="0"/>
        <v>1</v>
      </c>
      <c r="E18" s="19">
        <f>D18*100</f>
        <v>100</v>
      </c>
    </row>
    <row r="20" spans="2:5" x14ac:dyDescent="0.3">
      <c r="B20" s="138" t="s">
        <v>490</v>
      </c>
      <c r="C20" s="139"/>
    </row>
    <row r="21" spans="2:5" x14ac:dyDescent="0.3">
      <c r="B21" s="140"/>
      <c r="C21" s="141"/>
    </row>
    <row r="22" spans="2:5" x14ac:dyDescent="0.3">
      <c r="B22" s="142"/>
      <c r="C22" s="143"/>
    </row>
    <row r="23" spans="2:5" x14ac:dyDescent="0.3">
      <c r="B23" s="17" t="s">
        <v>487</v>
      </c>
      <c r="C23" s="33" t="s">
        <v>15</v>
      </c>
    </row>
  </sheetData>
  <mergeCells count="2">
    <mergeCell ref="B20:C22"/>
    <mergeCell ref="B1:E2"/>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462-2923-4C6D-8D9C-09A09BF82C4C}">
  <dimension ref="B1:P1238"/>
  <sheetViews>
    <sheetView showGridLines="0" workbookViewId="0">
      <selection activeCell="E11" sqref="E11"/>
    </sheetView>
  </sheetViews>
  <sheetFormatPr defaultRowHeight="14.4" x14ac:dyDescent="0.3"/>
  <cols>
    <col min="1" max="1" width="4.21875" customWidth="1"/>
    <col min="2" max="2" width="17.44140625" bestFit="1" customWidth="1"/>
    <col min="3" max="3" width="9.88671875" bestFit="1" customWidth="1"/>
    <col min="4" max="4" width="9.5546875" bestFit="1" customWidth="1"/>
    <col min="5" max="5" width="16.21875" customWidth="1"/>
    <col min="6" max="6" width="15.109375" customWidth="1"/>
    <col min="7" max="7" width="17" customWidth="1"/>
    <col min="8" max="8" width="3.109375" customWidth="1"/>
    <col min="9" max="9" width="2.109375" customWidth="1"/>
    <col min="10" max="10" width="6.109375" customWidth="1"/>
    <col min="16" max="16" width="22.21875" bestFit="1" customWidth="1"/>
  </cols>
  <sheetData>
    <row r="1" spans="2:16" x14ac:dyDescent="0.3">
      <c r="P1" s="2" t="s">
        <v>4</v>
      </c>
    </row>
    <row r="2" spans="2:16" x14ac:dyDescent="0.3">
      <c r="P2" s="3">
        <v>0</v>
      </c>
    </row>
    <row r="3" spans="2:16" x14ac:dyDescent="0.3">
      <c r="P3" s="4">
        <v>0</v>
      </c>
    </row>
    <row r="4" spans="2:16" x14ac:dyDescent="0.3">
      <c r="B4" s="137" t="s">
        <v>535</v>
      </c>
      <c r="C4" s="137"/>
      <c r="D4" s="137"/>
      <c r="E4" s="137"/>
      <c r="P4" s="3">
        <v>0</v>
      </c>
    </row>
    <row r="5" spans="2:16" ht="24.6" customHeight="1" x14ac:dyDescent="0.3">
      <c r="B5" s="137"/>
      <c r="C5" s="137"/>
      <c r="D5" s="137"/>
      <c r="E5" s="137"/>
      <c r="P5" s="4">
        <v>0</v>
      </c>
    </row>
    <row r="6" spans="2:16" x14ac:dyDescent="0.3">
      <c r="B6" s="43" t="s">
        <v>493</v>
      </c>
      <c r="C6" s="16" t="s">
        <v>427</v>
      </c>
      <c r="D6" s="16" t="s">
        <v>428</v>
      </c>
      <c r="E6" s="16" t="s">
        <v>429</v>
      </c>
      <c r="P6" s="3">
        <v>0</v>
      </c>
    </row>
    <row r="7" spans="2:16" x14ac:dyDescent="0.3">
      <c r="B7" s="70" t="s">
        <v>435</v>
      </c>
      <c r="C7" s="30">
        <f>COUNTIFS(Tabela1[Total years of experience],"&lt;5")</f>
        <v>256</v>
      </c>
      <c r="D7" s="35">
        <f t="shared" ref="D7:D17" si="0">C7/$C$17</f>
        <v>0.20711974110032363</v>
      </c>
      <c r="E7" s="21">
        <f>D7*100</f>
        <v>20.711974110032365</v>
      </c>
      <c r="P7" s="4">
        <v>0</v>
      </c>
    </row>
    <row r="8" spans="2:16" x14ac:dyDescent="0.3">
      <c r="B8" s="45" t="s">
        <v>436</v>
      </c>
      <c r="C8" s="30">
        <f>COUNTIFS(Tabela1[Total years of experience],"&lt;10",Tabela1[Total years of experience],"&gt;=5")</f>
        <v>475</v>
      </c>
      <c r="D8" s="35">
        <f t="shared" si="0"/>
        <v>0.38430420711974111</v>
      </c>
      <c r="E8" s="21">
        <f t="shared" ref="E8:E17" si="1">D8*100</f>
        <v>38.430420711974108</v>
      </c>
      <c r="P8" s="3">
        <v>0.5</v>
      </c>
    </row>
    <row r="9" spans="2:16" x14ac:dyDescent="0.3">
      <c r="B9" s="45" t="s">
        <v>437</v>
      </c>
      <c r="C9" s="30">
        <f>COUNTIFS(Tabela1[Total years of experience],"&lt;15",Tabela1[Total years of experience],"&gt;=10")</f>
        <v>329</v>
      </c>
      <c r="D9" s="35">
        <f t="shared" si="0"/>
        <v>0.26618122977346276</v>
      </c>
      <c r="E9" s="21">
        <f t="shared" si="1"/>
        <v>26.618122977346275</v>
      </c>
      <c r="P9" s="4">
        <v>0.8</v>
      </c>
    </row>
    <row r="10" spans="2:16" x14ac:dyDescent="0.3">
      <c r="B10" s="45" t="s">
        <v>438</v>
      </c>
      <c r="C10" s="30">
        <f>COUNTIFS(Tabela1[Total years of experience],"&lt;20",Tabela1[Total years of experience],"&gt;=15")</f>
        <v>119</v>
      </c>
      <c r="D10" s="35">
        <f t="shared" si="0"/>
        <v>9.6278317152103554E-2</v>
      </c>
      <c r="E10" s="21">
        <f t="shared" si="1"/>
        <v>9.6278317152103554</v>
      </c>
      <c r="P10" s="3">
        <v>0.8</v>
      </c>
    </row>
    <row r="11" spans="2:16" x14ac:dyDescent="0.3">
      <c r="B11" s="45" t="s">
        <v>439</v>
      </c>
      <c r="C11" s="30">
        <f>COUNTIFS(Tabela1[Total years of experience],"&lt;25",Tabela1[Total years of experience],"&gt;=20")</f>
        <v>39</v>
      </c>
      <c r="D11" s="35">
        <f t="shared" si="0"/>
        <v>3.1553398058252427E-2</v>
      </c>
      <c r="E11" s="21">
        <f t="shared" si="1"/>
        <v>3.1553398058252426</v>
      </c>
      <c r="P11" s="4">
        <v>1</v>
      </c>
    </row>
    <row r="12" spans="2:16" x14ac:dyDescent="0.3">
      <c r="B12" s="45" t="s">
        <v>440</v>
      </c>
      <c r="C12" s="30">
        <f>COUNTIFS(Tabela1[Total years of experience],"&lt;30",Tabela1[Total years of experience],"&gt;=25")</f>
        <v>12</v>
      </c>
      <c r="D12" s="35">
        <f t="shared" si="0"/>
        <v>9.7087378640776691E-3</v>
      </c>
      <c r="E12" s="21">
        <f t="shared" si="1"/>
        <v>0.97087378640776689</v>
      </c>
      <c r="P12" s="3">
        <v>1</v>
      </c>
    </row>
    <row r="13" spans="2:16" x14ac:dyDescent="0.3">
      <c r="B13" s="45" t="s">
        <v>441</v>
      </c>
      <c r="C13" s="30">
        <f>COUNTIFS(Tabela1[Total years of experience],"&lt;35",Tabela1[Total years of experience],"&gt;=30")</f>
        <v>5</v>
      </c>
      <c r="D13" s="35">
        <f t="shared" si="0"/>
        <v>4.0453074433656954E-3</v>
      </c>
      <c r="E13" s="21">
        <f t="shared" si="1"/>
        <v>0.40453074433656955</v>
      </c>
      <c r="P13" s="4">
        <v>1</v>
      </c>
    </row>
    <row r="14" spans="2:16" x14ac:dyDescent="0.3">
      <c r="B14" s="45" t="s">
        <v>442</v>
      </c>
      <c r="C14" s="30">
        <f>COUNTIFS(Tabela1[Total years of experience],"&lt;40",Tabela1[Total years of experience],"&gt;=35")</f>
        <v>0</v>
      </c>
      <c r="D14" s="35">
        <f t="shared" si="0"/>
        <v>0</v>
      </c>
      <c r="E14" s="21">
        <f t="shared" si="1"/>
        <v>0</v>
      </c>
      <c r="P14" s="3">
        <v>1</v>
      </c>
    </row>
    <row r="15" spans="2:16" x14ac:dyDescent="0.3">
      <c r="B15" s="45" t="s">
        <v>443</v>
      </c>
      <c r="C15" s="30">
        <f>COUNTIFS(Tabela1[Total years of experience],"&lt;45",Tabela1[Total years of experience],"&gt;=40")</f>
        <v>1</v>
      </c>
      <c r="D15" s="35">
        <f t="shared" si="0"/>
        <v>8.090614886731392E-4</v>
      </c>
      <c r="E15" s="21">
        <f t="shared" si="1"/>
        <v>8.0906148867313926E-2</v>
      </c>
      <c r="P15" s="4">
        <v>1</v>
      </c>
    </row>
    <row r="16" spans="2:16" x14ac:dyDescent="0.3">
      <c r="B16" s="136" t="s">
        <v>444</v>
      </c>
      <c r="C16" s="30">
        <f>COUNTIFS(Tabela1[Total years of experience],"&gt;=45")</f>
        <v>0</v>
      </c>
      <c r="D16" s="35">
        <f t="shared" si="0"/>
        <v>0</v>
      </c>
      <c r="E16" s="21">
        <f t="shared" si="1"/>
        <v>0</v>
      </c>
      <c r="P16" s="3">
        <v>1</v>
      </c>
    </row>
    <row r="17" spans="2:16" x14ac:dyDescent="0.3">
      <c r="B17" s="134" t="s">
        <v>434</v>
      </c>
      <c r="C17" s="57">
        <f>SUM(C7:C16)</f>
        <v>1236</v>
      </c>
      <c r="D17" s="58">
        <f t="shared" si="0"/>
        <v>1</v>
      </c>
      <c r="E17" s="135">
        <f t="shared" si="1"/>
        <v>100</v>
      </c>
      <c r="P17" s="4">
        <v>1</v>
      </c>
    </row>
    <row r="18" spans="2:16" x14ac:dyDescent="0.3">
      <c r="P18" s="3">
        <v>1</v>
      </c>
    </row>
    <row r="19" spans="2:16" x14ac:dyDescent="0.3">
      <c r="P19" s="4">
        <v>1</v>
      </c>
    </row>
    <row r="20" spans="2:16" x14ac:dyDescent="0.3">
      <c r="P20" s="3">
        <v>1</v>
      </c>
    </row>
    <row r="21" spans="2:16" x14ac:dyDescent="0.3">
      <c r="P21" s="4">
        <v>1</v>
      </c>
    </row>
    <row r="22" spans="2:16" x14ac:dyDescent="0.3">
      <c r="P22" s="3">
        <v>1</v>
      </c>
    </row>
    <row r="23" spans="2:16" x14ac:dyDescent="0.3">
      <c r="P23" s="4">
        <v>1</v>
      </c>
    </row>
    <row r="24" spans="2:16" x14ac:dyDescent="0.3">
      <c r="P24" s="3">
        <v>1</v>
      </c>
    </row>
    <row r="25" spans="2:16" x14ac:dyDescent="0.3">
      <c r="P25" s="4">
        <v>1</v>
      </c>
    </row>
    <row r="26" spans="2:16" x14ac:dyDescent="0.3">
      <c r="F26" s="138" t="s">
        <v>536</v>
      </c>
      <c r="G26" s="139"/>
      <c r="P26" s="3">
        <v>1</v>
      </c>
    </row>
    <row r="27" spans="2:16" x14ac:dyDescent="0.3">
      <c r="F27" s="140"/>
      <c r="G27" s="141"/>
      <c r="P27" s="4">
        <v>1</v>
      </c>
    </row>
    <row r="28" spans="2:16" x14ac:dyDescent="0.3">
      <c r="F28" s="142"/>
      <c r="G28" s="143"/>
      <c r="P28" s="3">
        <v>1</v>
      </c>
    </row>
    <row r="29" spans="2:16" x14ac:dyDescent="0.3">
      <c r="F29" s="34" t="s">
        <v>487</v>
      </c>
      <c r="G29" s="15">
        <f>_xlfn.MODE.SNGL(Tabela1[Total years of experience])</f>
        <v>10</v>
      </c>
      <c r="P29" s="4">
        <v>1</v>
      </c>
    </row>
    <row r="30" spans="2:16" x14ac:dyDescent="0.3">
      <c r="F30" s="20" t="s">
        <v>482</v>
      </c>
      <c r="G30" s="15">
        <f>AVERAGE(Tabela1[Total years of experience])</f>
        <v>8.7557443365695793</v>
      </c>
      <c r="P30" s="3">
        <v>1</v>
      </c>
    </row>
    <row r="31" spans="2:16" x14ac:dyDescent="0.3">
      <c r="F31" s="20" t="s">
        <v>483</v>
      </c>
      <c r="G31" s="15">
        <f>MEDIAN(Tabela1[Total years of experience])</f>
        <v>8</v>
      </c>
      <c r="P31" s="4">
        <v>1</v>
      </c>
    </row>
    <row r="32" spans="2:16" x14ac:dyDescent="0.3">
      <c r="F32" s="20" t="s">
        <v>484</v>
      </c>
      <c r="G32" s="15">
        <f>_xlfn.VAR.P(Tabela1[Total years of experience])</f>
        <v>27.844651468616792</v>
      </c>
      <c r="P32" s="3">
        <v>1</v>
      </c>
    </row>
    <row r="33" spans="6:16" x14ac:dyDescent="0.3">
      <c r="F33" s="20" t="s">
        <v>485</v>
      </c>
      <c r="G33" s="15">
        <f>_xlfn.STDEV.P(Tabela1[Total years of experience])</f>
        <v>5.2768031485565947</v>
      </c>
      <c r="P33" s="4">
        <v>1</v>
      </c>
    </row>
    <row r="34" spans="6:16" x14ac:dyDescent="0.3">
      <c r="F34" s="18" t="s">
        <v>486</v>
      </c>
      <c r="G34" s="33">
        <f>AVEDEV(Tabela1[Total years of experience])</f>
        <v>4.1294570385731166</v>
      </c>
      <c r="P34" s="3">
        <v>1</v>
      </c>
    </row>
    <row r="35" spans="6:16" x14ac:dyDescent="0.3">
      <c r="P35" s="4">
        <v>1</v>
      </c>
    </row>
    <row r="36" spans="6:16" x14ac:dyDescent="0.3">
      <c r="P36" s="3">
        <v>1</v>
      </c>
    </row>
    <row r="37" spans="6:16" x14ac:dyDescent="0.3">
      <c r="P37" s="4">
        <v>1</v>
      </c>
    </row>
    <row r="38" spans="6:16" x14ac:dyDescent="0.3">
      <c r="P38" s="3">
        <v>1</v>
      </c>
    </row>
    <row r="39" spans="6:16" x14ac:dyDescent="0.3">
      <c r="P39" s="4">
        <v>1</v>
      </c>
    </row>
    <row r="40" spans="6:16" x14ac:dyDescent="0.3">
      <c r="P40" s="3">
        <v>1</v>
      </c>
    </row>
    <row r="41" spans="6:16" x14ac:dyDescent="0.3">
      <c r="P41" s="4">
        <v>1</v>
      </c>
    </row>
    <row r="42" spans="6:16" x14ac:dyDescent="0.3">
      <c r="P42" s="3">
        <v>1.5</v>
      </c>
    </row>
    <row r="43" spans="6:16" x14ac:dyDescent="0.3">
      <c r="P43" s="4">
        <v>1.5</v>
      </c>
    </row>
    <row r="44" spans="6:16" x14ac:dyDescent="0.3">
      <c r="P44" s="3">
        <v>1.5</v>
      </c>
    </row>
    <row r="45" spans="6:16" x14ac:dyDescent="0.3">
      <c r="P45" s="6">
        <v>1.5</v>
      </c>
    </row>
    <row r="46" spans="6:16" x14ac:dyDescent="0.3">
      <c r="P46" s="3">
        <v>2</v>
      </c>
    </row>
    <row r="47" spans="6:16" x14ac:dyDescent="0.3">
      <c r="P47" s="4">
        <v>2</v>
      </c>
    </row>
    <row r="48" spans="6:16" x14ac:dyDescent="0.3">
      <c r="P48" s="3">
        <v>2</v>
      </c>
    </row>
    <row r="49" spans="16:16" x14ac:dyDescent="0.3">
      <c r="P49" s="4">
        <v>2</v>
      </c>
    </row>
    <row r="50" spans="16:16" x14ac:dyDescent="0.3">
      <c r="P50" s="3">
        <v>2</v>
      </c>
    </row>
    <row r="51" spans="16:16" x14ac:dyDescent="0.3">
      <c r="P51" s="4">
        <v>2</v>
      </c>
    </row>
    <row r="52" spans="16:16" x14ac:dyDescent="0.3">
      <c r="P52" s="3">
        <v>2</v>
      </c>
    </row>
    <row r="53" spans="16:16" x14ac:dyDescent="0.3">
      <c r="P53" s="4">
        <v>2</v>
      </c>
    </row>
    <row r="54" spans="16:16" x14ac:dyDescent="0.3">
      <c r="P54" s="3">
        <v>2</v>
      </c>
    </row>
    <row r="55" spans="16:16" x14ac:dyDescent="0.3">
      <c r="P55" s="4">
        <v>2</v>
      </c>
    </row>
    <row r="56" spans="16:16" x14ac:dyDescent="0.3">
      <c r="P56" s="3">
        <v>2</v>
      </c>
    </row>
    <row r="57" spans="16:16" x14ac:dyDescent="0.3">
      <c r="P57" s="4">
        <v>2</v>
      </c>
    </row>
    <row r="58" spans="16:16" x14ac:dyDescent="0.3">
      <c r="P58" s="3">
        <v>2</v>
      </c>
    </row>
    <row r="59" spans="16:16" x14ac:dyDescent="0.3">
      <c r="P59" s="4">
        <v>2</v>
      </c>
    </row>
    <row r="60" spans="16:16" x14ac:dyDescent="0.3">
      <c r="P60" s="3">
        <v>2</v>
      </c>
    </row>
    <row r="61" spans="16:16" x14ac:dyDescent="0.3">
      <c r="P61" s="4">
        <v>2</v>
      </c>
    </row>
    <row r="62" spans="16:16" x14ac:dyDescent="0.3">
      <c r="P62" s="3">
        <v>2</v>
      </c>
    </row>
    <row r="63" spans="16:16" x14ac:dyDescent="0.3">
      <c r="P63" s="4">
        <v>2</v>
      </c>
    </row>
    <row r="64" spans="16:16" x14ac:dyDescent="0.3">
      <c r="P64" s="3">
        <v>2</v>
      </c>
    </row>
    <row r="65" spans="16:16" x14ac:dyDescent="0.3">
      <c r="P65" s="4">
        <v>2</v>
      </c>
    </row>
    <row r="66" spans="16:16" x14ac:dyDescent="0.3">
      <c r="P66" s="3">
        <v>2</v>
      </c>
    </row>
    <row r="67" spans="16:16" x14ac:dyDescent="0.3">
      <c r="P67" s="4">
        <v>2</v>
      </c>
    </row>
    <row r="68" spans="16:16" x14ac:dyDescent="0.3">
      <c r="P68" s="3">
        <v>2</v>
      </c>
    </row>
    <row r="69" spans="16:16" x14ac:dyDescent="0.3">
      <c r="P69" s="4">
        <v>2</v>
      </c>
    </row>
    <row r="70" spans="16:16" x14ac:dyDescent="0.3">
      <c r="P70" s="3">
        <v>2</v>
      </c>
    </row>
    <row r="71" spans="16:16" x14ac:dyDescent="0.3">
      <c r="P71" s="4">
        <v>2</v>
      </c>
    </row>
    <row r="72" spans="16:16" x14ac:dyDescent="0.3">
      <c r="P72" s="3">
        <v>2</v>
      </c>
    </row>
    <row r="73" spans="16:16" x14ac:dyDescent="0.3">
      <c r="P73" s="4">
        <v>2</v>
      </c>
    </row>
    <row r="74" spans="16:16" x14ac:dyDescent="0.3">
      <c r="P74" s="3">
        <v>2</v>
      </c>
    </row>
    <row r="75" spans="16:16" x14ac:dyDescent="0.3">
      <c r="P75" s="4">
        <v>2</v>
      </c>
    </row>
    <row r="76" spans="16:16" x14ac:dyDescent="0.3">
      <c r="P76" s="3">
        <v>2</v>
      </c>
    </row>
    <row r="77" spans="16:16" x14ac:dyDescent="0.3">
      <c r="P77" s="4">
        <v>2</v>
      </c>
    </row>
    <row r="78" spans="16:16" x14ac:dyDescent="0.3">
      <c r="P78" s="3">
        <v>2</v>
      </c>
    </row>
    <row r="79" spans="16:16" x14ac:dyDescent="0.3">
      <c r="P79" s="4">
        <v>2</v>
      </c>
    </row>
    <row r="80" spans="16:16" x14ac:dyDescent="0.3">
      <c r="P80" s="3">
        <v>2</v>
      </c>
    </row>
    <row r="81" spans="16:16" x14ac:dyDescent="0.3">
      <c r="P81" s="4">
        <v>2</v>
      </c>
    </row>
    <row r="82" spans="16:16" x14ac:dyDescent="0.3">
      <c r="P82" s="3">
        <v>2</v>
      </c>
    </row>
    <row r="83" spans="16:16" x14ac:dyDescent="0.3">
      <c r="P83" s="4">
        <v>2</v>
      </c>
    </row>
    <row r="84" spans="16:16" x14ac:dyDescent="0.3">
      <c r="P84" s="3">
        <v>2</v>
      </c>
    </row>
    <row r="85" spans="16:16" x14ac:dyDescent="0.3">
      <c r="P85" s="4">
        <v>2</v>
      </c>
    </row>
    <row r="86" spans="16:16" x14ac:dyDescent="0.3">
      <c r="P86" s="3">
        <v>2</v>
      </c>
    </row>
    <row r="87" spans="16:16" x14ac:dyDescent="0.3">
      <c r="P87" s="4">
        <v>2</v>
      </c>
    </row>
    <row r="88" spans="16:16" x14ac:dyDescent="0.3">
      <c r="P88" s="3">
        <v>2</v>
      </c>
    </row>
    <row r="89" spans="16:16" x14ac:dyDescent="0.3">
      <c r="P89" s="4">
        <v>2</v>
      </c>
    </row>
    <row r="90" spans="16:16" x14ac:dyDescent="0.3">
      <c r="P90" s="3">
        <v>2</v>
      </c>
    </row>
    <row r="91" spans="16:16" x14ac:dyDescent="0.3">
      <c r="P91" s="4">
        <v>2</v>
      </c>
    </row>
    <row r="92" spans="16:16" x14ac:dyDescent="0.3">
      <c r="P92" s="3">
        <v>2</v>
      </c>
    </row>
    <row r="93" spans="16:16" x14ac:dyDescent="0.3">
      <c r="P93" s="4">
        <v>2</v>
      </c>
    </row>
    <row r="94" spans="16:16" x14ac:dyDescent="0.3">
      <c r="P94" s="3">
        <v>2</v>
      </c>
    </row>
    <row r="95" spans="16:16" x14ac:dyDescent="0.3">
      <c r="P95" s="4">
        <v>2</v>
      </c>
    </row>
    <row r="96" spans="16:16" x14ac:dyDescent="0.3">
      <c r="P96" s="3">
        <v>2</v>
      </c>
    </row>
    <row r="97" spans="16:16" x14ac:dyDescent="0.3">
      <c r="P97" s="4">
        <v>2</v>
      </c>
    </row>
    <row r="98" spans="16:16" x14ac:dyDescent="0.3">
      <c r="P98" s="3">
        <v>2</v>
      </c>
    </row>
    <row r="99" spans="16:16" x14ac:dyDescent="0.3">
      <c r="P99" s="4">
        <v>2</v>
      </c>
    </row>
    <row r="100" spans="16:16" x14ac:dyDescent="0.3">
      <c r="P100" s="3">
        <v>2</v>
      </c>
    </row>
    <row r="101" spans="16:16" x14ac:dyDescent="0.3">
      <c r="P101" s="4">
        <v>2</v>
      </c>
    </row>
    <row r="102" spans="16:16" x14ac:dyDescent="0.3">
      <c r="P102" s="3">
        <v>2</v>
      </c>
    </row>
    <row r="103" spans="16:16" x14ac:dyDescent="0.3">
      <c r="P103" s="4">
        <v>2.5</v>
      </c>
    </row>
    <row r="104" spans="16:16" x14ac:dyDescent="0.3">
      <c r="P104" s="3">
        <v>2.5</v>
      </c>
    </row>
    <row r="105" spans="16:16" x14ac:dyDescent="0.3">
      <c r="P105" s="4">
        <v>2.5</v>
      </c>
    </row>
    <row r="106" spans="16:16" x14ac:dyDescent="0.3">
      <c r="P106" s="3">
        <v>2.5</v>
      </c>
    </row>
    <row r="107" spans="16:16" x14ac:dyDescent="0.3">
      <c r="P107" s="4">
        <v>2.5</v>
      </c>
    </row>
    <row r="108" spans="16:16" x14ac:dyDescent="0.3">
      <c r="P108" s="3">
        <v>3</v>
      </c>
    </row>
    <row r="109" spans="16:16" x14ac:dyDescent="0.3">
      <c r="P109" s="4">
        <v>3</v>
      </c>
    </row>
    <row r="110" spans="16:16" x14ac:dyDescent="0.3">
      <c r="P110" s="3">
        <v>3</v>
      </c>
    </row>
    <row r="111" spans="16:16" x14ac:dyDescent="0.3">
      <c r="P111" s="4">
        <v>3</v>
      </c>
    </row>
    <row r="112" spans="16:16" x14ac:dyDescent="0.3">
      <c r="P112" s="3">
        <v>3</v>
      </c>
    </row>
    <row r="113" spans="16:16" x14ac:dyDescent="0.3">
      <c r="P113" s="4">
        <v>3</v>
      </c>
    </row>
    <row r="114" spans="16:16" x14ac:dyDescent="0.3">
      <c r="P114" s="3">
        <v>3</v>
      </c>
    </row>
    <row r="115" spans="16:16" x14ac:dyDescent="0.3">
      <c r="P115" s="4">
        <v>3</v>
      </c>
    </row>
    <row r="116" spans="16:16" x14ac:dyDescent="0.3">
      <c r="P116" s="3">
        <v>3</v>
      </c>
    </row>
    <row r="117" spans="16:16" x14ac:dyDescent="0.3">
      <c r="P117" s="4">
        <v>3</v>
      </c>
    </row>
    <row r="118" spans="16:16" x14ac:dyDescent="0.3">
      <c r="P118" s="3">
        <v>3</v>
      </c>
    </row>
    <row r="119" spans="16:16" x14ac:dyDescent="0.3">
      <c r="P119" s="4">
        <v>3</v>
      </c>
    </row>
    <row r="120" spans="16:16" x14ac:dyDescent="0.3">
      <c r="P120" s="3">
        <v>3</v>
      </c>
    </row>
    <row r="121" spans="16:16" x14ac:dyDescent="0.3">
      <c r="P121" s="4">
        <v>3</v>
      </c>
    </row>
    <row r="122" spans="16:16" x14ac:dyDescent="0.3">
      <c r="P122" s="3">
        <v>3</v>
      </c>
    </row>
    <row r="123" spans="16:16" x14ac:dyDescent="0.3">
      <c r="P123" s="4">
        <v>3</v>
      </c>
    </row>
    <row r="124" spans="16:16" x14ac:dyDescent="0.3">
      <c r="P124" s="3">
        <v>3</v>
      </c>
    </row>
    <row r="125" spans="16:16" x14ac:dyDescent="0.3">
      <c r="P125" s="4">
        <v>3</v>
      </c>
    </row>
    <row r="126" spans="16:16" x14ac:dyDescent="0.3">
      <c r="P126" s="3">
        <v>3</v>
      </c>
    </row>
    <row r="127" spans="16:16" x14ac:dyDescent="0.3">
      <c r="P127" s="4">
        <v>3</v>
      </c>
    </row>
    <row r="128" spans="16:16" x14ac:dyDescent="0.3">
      <c r="P128" s="3">
        <v>3</v>
      </c>
    </row>
    <row r="129" spans="16:16" x14ac:dyDescent="0.3">
      <c r="P129" s="4">
        <v>3</v>
      </c>
    </row>
    <row r="130" spans="16:16" x14ac:dyDescent="0.3">
      <c r="P130" s="3">
        <v>3</v>
      </c>
    </row>
    <row r="131" spans="16:16" x14ac:dyDescent="0.3">
      <c r="P131" s="4">
        <v>3</v>
      </c>
    </row>
    <row r="132" spans="16:16" x14ac:dyDescent="0.3">
      <c r="P132" s="3">
        <v>3</v>
      </c>
    </row>
    <row r="133" spans="16:16" x14ac:dyDescent="0.3">
      <c r="P133" s="4">
        <v>3</v>
      </c>
    </row>
    <row r="134" spans="16:16" x14ac:dyDescent="0.3">
      <c r="P134" s="3">
        <v>3</v>
      </c>
    </row>
    <row r="135" spans="16:16" x14ac:dyDescent="0.3">
      <c r="P135" s="4">
        <v>3</v>
      </c>
    </row>
    <row r="136" spans="16:16" x14ac:dyDescent="0.3">
      <c r="P136" s="3">
        <v>3</v>
      </c>
    </row>
    <row r="137" spans="16:16" x14ac:dyDescent="0.3">
      <c r="P137" s="4">
        <v>3</v>
      </c>
    </row>
    <row r="138" spans="16:16" x14ac:dyDescent="0.3">
      <c r="P138" s="3">
        <v>3</v>
      </c>
    </row>
    <row r="139" spans="16:16" x14ac:dyDescent="0.3">
      <c r="P139" s="4">
        <v>3</v>
      </c>
    </row>
    <row r="140" spans="16:16" x14ac:dyDescent="0.3">
      <c r="P140" s="3">
        <v>3</v>
      </c>
    </row>
    <row r="141" spans="16:16" x14ac:dyDescent="0.3">
      <c r="P141" s="4">
        <v>3</v>
      </c>
    </row>
    <row r="142" spans="16:16" x14ac:dyDescent="0.3">
      <c r="P142" s="3">
        <v>3</v>
      </c>
    </row>
    <row r="143" spans="16:16" x14ac:dyDescent="0.3">
      <c r="P143" s="4">
        <v>3</v>
      </c>
    </row>
    <row r="144" spans="16:16" x14ac:dyDescent="0.3">
      <c r="P144" s="3">
        <v>3</v>
      </c>
    </row>
    <row r="145" spans="16:16" x14ac:dyDescent="0.3">
      <c r="P145" s="4">
        <v>3</v>
      </c>
    </row>
    <row r="146" spans="16:16" x14ac:dyDescent="0.3">
      <c r="P146" s="3">
        <v>3</v>
      </c>
    </row>
    <row r="147" spans="16:16" x14ac:dyDescent="0.3">
      <c r="P147" s="4">
        <v>3</v>
      </c>
    </row>
    <row r="148" spans="16:16" x14ac:dyDescent="0.3">
      <c r="P148" s="3">
        <v>3</v>
      </c>
    </row>
    <row r="149" spans="16:16" x14ac:dyDescent="0.3">
      <c r="P149" s="4">
        <v>3</v>
      </c>
    </row>
    <row r="150" spans="16:16" x14ac:dyDescent="0.3">
      <c r="P150" s="3">
        <v>3</v>
      </c>
    </row>
    <row r="151" spans="16:16" x14ac:dyDescent="0.3">
      <c r="P151" s="4">
        <v>3</v>
      </c>
    </row>
    <row r="152" spans="16:16" x14ac:dyDescent="0.3">
      <c r="P152" s="3">
        <v>3</v>
      </c>
    </row>
    <row r="153" spans="16:16" x14ac:dyDescent="0.3">
      <c r="P153" s="4">
        <v>3</v>
      </c>
    </row>
    <row r="154" spans="16:16" x14ac:dyDescent="0.3">
      <c r="P154" s="3">
        <v>3</v>
      </c>
    </row>
    <row r="155" spans="16:16" x14ac:dyDescent="0.3">
      <c r="P155" s="4">
        <v>3</v>
      </c>
    </row>
    <row r="156" spans="16:16" x14ac:dyDescent="0.3">
      <c r="P156" s="3">
        <v>3</v>
      </c>
    </row>
    <row r="157" spans="16:16" x14ac:dyDescent="0.3">
      <c r="P157" s="4">
        <v>3</v>
      </c>
    </row>
    <row r="158" spans="16:16" x14ac:dyDescent="0.3">
      <c r="P158" s="3">
        <v>3</v>
      </c>
    </row>
    <row r="159" spans="16:16" x14ac:dyDescent="0.3">
      <c r="P159" s="4">
        <v>3</v>
      </c>
    </row>
    <row r="160" spans="16:16" x14ac:dyDescent="0.3">
      <c r="P160" s="3">
        <v>3</v>
      </c>
    </row>
    <row r="161" spans="16:16" x14ac:dyDescent="0.3">
      <c r="P161" s="4">
        <v>3</v>
      </c>
    </row>
    <row r="162" spans="16:16" x14ac:dyDescent="0.3">
      <c r="P162" s="3">
        <v>3</v>
      </c>
    </row>
    <row r="163" spans="16:16" x14ac:dyDescent="0.3">
      <c r="P163" s="4">
        <v>3</v>
      </c>
    </row>
    <row r="164" spans="16:16" x14ac:dyDescent="0.3">
      <c r="P164" s="3">
        <v>3</v>
      </c>
    </row>
    <row r="165" spans="16:16" x14ac:dyDescent="0.3">
      <c r="P165" s="4">
        <v>3</v>
      </c>
    </row>
    <row r="166" spans="16:16" x14ac:dyDescent="0.3">
      <c r="P166" s="3">
        <v>3</v>
      </c>
    </row>
    <row r="167" spans="16:16" x14ac:dyDescent="0.3">
      <c r="P167" s="4">
        <v>3</v>
      </c>
    </row>
    <row r="168" spans="16:16" x14ac:dyDescent="0.3">
      <c r="P168" s="3">
        <v>3</v>
      </c>
    </row>
    <row r="169" spans="16:16" x14ac:dyDescent="0.3">
      <c r="P169" s="4">
        <v>3</v>
      </c>
    </row>
    <row r="170" spans="16:16" x14ac:dyDescent="0.3">
      <c r="P170" s="3">
        <v>3</v>
      </c>
    </row>
    <row r="171" spans="16:16" x14ac:dyDescent="0.3">
      <c r="P171" s="4">
        <v>3</v>
      </c>
    </row>
    <row r="172" spans="16:16" x14ac:dyDescent="0.3">
      <c r="P172" s="3">
        <v>3</v>
      </c>
    </row>
    <row r="173" spans="16:16" x14ac:dyDescent="0.3">
      <c r="P173" s="4">
        <v>3</v>
      </c>
    </row>
    <row r="174" spans="16:16" x14ac:dyDescent="0.3">
      <c r="P174" s="3">
        <v>3.5</v>
      </c>
    </row>
    <row r="175" spans="16:16" x14ac:dyDescent="0.3">
      <c r="P175" s="4">
        <v>3.5</v>
      </c>
    </row>
    <row r="176" spans="16:16" x14ac:dyDescent="0.3">
      <c r="P176" s="3">
        <v>4</v>
      </c>
    </row>
    <row r="177" spans="16:16" x14ac:dyDescent="0.3">
      <c r="P177" s="4">
        <v>4</v>
      </c>
    </row>
    <row r="178" spans="16:16" x14ac:dyDescent="0.3">
      <c r="P178" s="3">
        <v>4</v>
      </c>
    </row>
    <row r="179" spans="16:16" x14ac:dyDescent="0.3">
      <c r="P179" s="4">
        <v>4</v>
      </c>
    </row>
    <row r="180" spans="16:16" x14ac:dyDescent="0.3">
      <c r="P180" s="3">
        <v>4</v>
      </c>
    </row>
    <row r="181" spans="16:16" x14ac:dyDescent="0.3">
      <c r="P181" s="4">
        <v>4</v>
      </c>
    </row>
    <row r="182" spans="16:16" x14ac:dyDescent="0.3">
      <c r="P182" s="3">
        <v>4</v>
      </c>
    </row>
    <row r="183" spans="16:16" x14ac:dyDescent="0.3">
      <c r="P183" s="4">
        <v>4</v>
      </c>
    </row>
    <row r="184" spans="16:16" x14ac:dyDescent="0.3">
      <c r="P184" s="3">
        <v>4</v>
      </c>
    </row>
    <row r="185" spans="16:16" x14ac:dyDescent="0.3">
      <c r="P185" s="4">
        <v>4</v>
      </c>
    </row>
    <row r="186" spans="16:16" x14ac:dyDescent="0.3">
      <c r="P186" s="3">
        <v>4</v>
      </c>
    </row>
    <row r="187" spans="16:16" x14ac:dyDescent="0.3">
      <c r="P187" s="4">
        <v>4</v>
      </c>
    </row>
    <row r="188" spans="16:16" x14ac:dyDescent="0.3">
      <c r="P188" s="3">
        <v>4</v>
      </c>
    </row>
    <row r="189" spans="16:16" x14ac:dyDescent="0.3">
      <c r="P189" s="4">
        <v>4</v>
      </c>
    </row>
    <row r="190" spans="16:16" x14ac:dyDescent="0.3">
      <c r="P190" s="3">
        <v>4</v>
      </c>
    </row>
    <row r="191" spans="16:16" x14ac:dyDescent="0.3">
      <c r="P191" s="4">
        <v>4</v>
      </c>
    </row>
    <row r="192" spans="16:16" x14ac:dyDescent="0.3">
      <c r="P192" s="3">
        <v>4</v>
      </c>
    </row>
    <row r="193" spans="16:16" x14ac:dyDescent="0.3">
      <c r="P193" s="4">
        <v>4</v>
      </c>
    </row>
    <row r="194" spans="16:16" x14ac:dyDescent="0.3">
      <c r="P194" s="3">
        <v>4</v>
      </c>
    </row>
    <row r="195" spans="16:16" x14ac:dyDescent="0.3">
      <c r="P195" s="4">
        <v>4</v>
      </c>
    </row>
    <row r="196" spans="16:16" x14ac:dyDescent="0.3">
      <c r="P196" s="3">
        <v>4</v>
      </c>
    </row>
    <row r="197" spans="16:16" x14ac:dyDescent="0.3">
      <c r="P197" s="4">
        <v>4</v>
      </c>
    </row>
    <row r="198" spans="16:16" x14ac:dyDescent="0.3">
      <c r="P198" s="3">
        <v>4</v>
      </c>
    </row>
    <row r="199" spans="16:16" x14ac:dyDescent="0.3">
      <c r="P199" s="4">
        <v>4</v>
      </c>
    </row>
    <row r="200" spans="16:16" x14ac:dyDescent="0.3">
      <c r="P200" s="3">
        <v>4</v>
      </c>
    </row>
    <row r="201" spans="16:16" x14ac:dyDescent="0.3">
      <c r="P201" s="4">
        <v>4</v>
      </c>
    </row>
    <row r="202" spans="16:16" x14ac:dyDescent="0.3">
      <c r="P202" s="3">
        <v>4</v>
      </c>
    </row>
    <row r="203" spans="16:16" x14ac:dyDescent="0.3">
      <c r="P203" s="4">
        <v>4</v>
      </c>
    </row>
    <row r="204" spans="16:16" x14ac:dyDescent="0.3">
      <c r="P204" s="3">
        <v>4</v>
      </c>
    </row>
    <row r="205" spans="16:16" x14ac:dyDescent="0.3">
      <c r="P205" s="4">
        <v>4</v>
      </c>
    </row>
    <row r="206" spans="16:16" x14ac:dyDescent="0.3">
      <c r="P206" s="3">
        <v>4</v>
      </c>
    </row>
    <row r="207" spans="16:16" x14ac:dyDescent="0.3">
      <c r="P207" s="4">
        <v>4</v>
      </c>
    </row>
    <row r="208" spans="16:16" x14ac:dyDescent="0.3">
      <c r="P208" s="3">
        <v>4</v>
      </c>
    </row>
    <row r="209" spans="16:16" x14ac:dyDescent="0.3">
      <c r="P209" s="4">
        <v>4</v>
      </c>
    </row>
    <row r="210" spans="16:16" x14ac:dyDescent="0.3">
      <c r="P210" s="3">
        <v>4</v>
      </c>
    </row>
    <row r="211" spans="16:16" x14ac:dyDescent="0.3">
      <c r="P211" s="4">
        <v>4</v>
      </c>
    </row>
    <row r="212" spans="16:16" x14ac:dyDescent="0.3">
      <c r="P212" s="3">
        <v>4</v>
      </c>
    </row>
    <row r="213" spans="16:16" x14ac:dyDescent="0.3">
      <c r="P213" s="4">
        <v>4</v>
      </c>
    </row>
    <row r="214" spans="16:16" x14ac:dyDescent="0.3">
      <c r="P214" s="3">
        <v>4</v>
      </c>
    </row>
    <row r="215" spans="16:16" x14ac:dyDescent="0.3">
      <c r="P215" s="4">
        <v>4</v>
      </c>
    </row>
    <row r="216" spans="16:16" x14ac:dyDescent="0.3">
      <c r="P216" s="3">
        <v>4</v>
      </c>
    </row>
    <row r="217" spans="16:16" x14ac:dyDescent="0.3">
      <c r="P217" s="4">
        <v>4</v>
      </c>
    </row>
    <row r="218" spans="16:16" x14ac:dyDescent="0.3">
      <c r="P218" s="3">
        <v>4</v>
      </c>
    </row>
    <row r="219" spans="16:16" x14ac:dyDescent="0.3">
      <c r="P219" s="4">
        <v>4</v>
      </c>
    </row>
    <row r="220" spans="16:16" x14ac:dyDescent="0.3">
      <c r="P220" s="3">
        <v>4</v>
      </c>
    </row>
    <row r="221" spans="16:16" x14ac:dyDescent="0.3">
      <c r="P221" s="4">
        <v>4</v>
      </c>
    </row>
    <row r="222" spans="16:16" x14ac:dyDescent="0.3">
      <c r="P222" s="3">
        <v>4</v>
      </c>
    </row>
    <row r="223" spans="16:16" x14ac:dyDescent="0.3">
      <c r="P223" s="4">
        <v>4</v>
      </c>
    </row>
    <row r="224" spans="16:16" x14ac:dyDescent="0.3">
      <c r="P224" s="3">
        <v>4</v>
      </c>
    </row>
    <row r="225" spans="16:16" x14ac:dyDescent="0.3">
      <c r="P225" s="4">
        <v>4</v>
      </c>
    </row>
    <row r="226" spans="16:16" x14ac:dyDescent="0.3">
      <c r="P226" s="3">
        <v>4</v>
      </c>
    </row>
    <row r="227" spans="16:16" x14ac:dyDescent="0.3">
      <c r="P227" s="4">
        <v>4</v>
      </c>
    </row>
    <row r="228" spans="16:16" x14ac:dyDescent="0.3">
      <c r="P228" s="3">
        <v>4</v>
      </c>
    </row>
    <row r="229" spans="16:16" x14ac:dyDescent="0.3">
      <c r="P229" s="4">
        <v>4</v>
      </c>
    </row>
    <row r="230" spans="16:16" x14ac:dyDescent="0.3">
      <c r="P230" s="3">
        <v>4</v>
      </c>
    </row>
    <row r="231" spans="16:16" x14ac:dyDescent="0.3">
      <c r="P231" s="4">
        <v>4</v>
      </c>
    </row>
    <row r="232" spans="16:16" x14ac:dyDescent="0.3">
      <c r="P232" s="3">
        <v>4</v>
      </c>
    </row>
    <row r="233" spans="16:16" x14ac:dyDescent="0.3">
      <c r="P233" s="4">
        <v>4</v>
      </c>
    </row>
    <row r="234" spans="16:16" x14ac:dyDescent="0.3">
      <c r="P234" s="3">
        <v>4</v>
      </c>
    </row>
    <row r="235" spans="16:16" x14ac:dyDescent="0.3">
      <c r="P235" s="4">
        <v>4</v>
      </c>
    </row>
    <row r="236" spans="16:16" x14ac:dyDescent="0.3">
      <c r="P236" s="3">
        <v>4</v>
      </c>
    </row>
    <row r="237" spans="16:16" x14ac:dyDescent="0.3">
      <c r="P237" s="4">
        <v>4</v>
      </c>
    </row>
    <row r="238" spans="16:16" x14ac:dyDescent="0.3">
      <c r="P238" s="3">
        <v>4</v>
      </c>
    </row>
    <row r="239" spans="16:16" x14ac:dyDescent="0.3">
      <c r="P239" s="4">
        <v>4</v>
      </c>
    </row>
    <row r="240" spans="16:16" x14ac:dyDescent="0.3">
      <c r="P240" s="3">
        <v>4</v>
      </c>
    </row>
    <row r="241" spans="16:16" x14ac:dyDescent="0.3">
      <c r="P241" s="4">
        <v>4</v>
      </c>
    </row>
    <row r="242" spans="16:16" x14ac:dyDescent="0.3">
      <c r="P242" s="3">
        <v>4</v>
      </c>
    </row>
    <row r="243" spans="16:16" x14ac:dyDescent="0.3">
      <c r="P243" s="4">
        <v>4</v>
      </c>
    </row>
    <row r="244" spans="16:16" x14ac:dyDescent="0.3">
      <c r="P244" s="3">
        <v>4</v>
      </c>
    </row>
    <row r="245" spans="16:16" x14ac:dyDescent="0.3">
      <c r="P245" s="4">
        <v>4</v>
      </c>
    </row>
    <row r="246" spans="16:16" x14ac:dyDescent="0.3">
      <c r="P246" s="3">
        <v>4</v>
      </c>
    </row>
    <row r="247" spans="16:16" x14ac:dyDescent="0.3">
      <c r="P247" s="4">
        <v>4</v>
      </c>
    </row>
    <row r="248" spans="16:16" x14ac:dyDescent="0.3">
      <c r="P248" s="3">
        <v>4</v>
      </c>
    </row>
    <row r="249" spans="16:16" x14ac:dyDescent="0.3">
      <c r="P249" s="4">
        <v>4</v>
      </c>
    </row>
    <row r="250" spans="16:16" x14ac:dyDescent="0.3">
      <c r="P250" s="3">
        <v>4</v>
      </c>
    </row>
    <row r="251" spans="16:16" x14ac:dyDescent="0.3">
      <c r="P251" s="4">
        <v>4</v>
      </c>
    </row>
    <row r="252" spans="16:16" x14ac:dyDescent="0.3">
      <c r="P252" s="3">
        <v>4</v>
      </c>
    </row>
    <row r="253" spans="16:16" x14ac:dyDescent="0.3">
      <c r="P253" s="4">
        <v>4</v>
      </c>
    </row>
    <row r="254" spans="16:16" x14ac:dyDescent="0.3">
      <c r="P254" s="3">
        <v>4</v>
      </c>
    </row>
    <row r="255" spans="16:16" x14ac:dyDescent="0.3">
      <c r="P255" s="4">
        <v>4</v>
      </c>
    </row>
    <row r="256" spans="16:16" x14ac:dyDescent="0.3">
      <c r="P256" s="3">
        <v>4.5</v>
      </c>
    </row>
    <row r="257" spans="16:16" x14ac:dyDescent="0.3">
      <c r="P257" s="4">
        <v>4.5</v>
      </c>
    </row>
    <row r="258" spans="16:16" x14ac:dyDescent="0.3">
      <c r="P258" s="3">
        <v>5</v>
      </c>
    </row>
    <row r="259" spans="16:16" x14ac:dyDescent="0.3">
      <c r="P259" s="4">
        <v>5</v>
      </c>
    </row>
    <row r="260" spans="16:16" x14ac:dyDescent="0.3">
      <c r="P260" s="3">
        <v>5</v>
      </c>
    </row>
    <row r="261" spans="16:16" x14ac:dyDescent="0.3">
      <c r="P261" s="4">
        <v>5</v>
      </c>
    </row>
    <row r="262" spans="16:16" x14ac:dyDescent="0.3">
      <c r="P262" s="3">
        <v>5</v>
      </c>
    </row>
    <row r="263" spans="16:16" x14ac:dyDescent="0.3">
      <c r="P263" s="4">
        <v>5</v>
      </c>
    </row>
    <row r="264" spans="16:16" x14ac:dyDescent="0.3">
      <c r="P264" s="3">
        <v>5</v>
      </c>
    </row>
    <row r="265" spans="16:16" x14ac:dyDescent="0.3">
      <c r="P265" s="4">
        <v>5</v>
      </c>
    </row>
    <row r="266" spans="16:16" x14ac:dyDescent="0.3">
      <c r="P266" s="3">
        <v>5</v>
      </c>
    </row>
    <row r="267" spans="16:16" x14ac:dyDescent="0.3">
      <c r="P267" s="4">
        <v>5</v>
      </c>
    </row>
    <row r="268" spans="16:16" x14ac:dyDescent="0.3">
      <c r="P268" s="3">
        <v>5</v>
      </c>
    </row>
    <row r="269" spans="16:16" x14ac:dyDescent="0.3">
      <c r="P269" s="4">
        <v>5</v>
      </c>
    </row>
    <row r="270" spans="16:16" x14ac:dyDescent="0.3">
      <c r="P270" s="3">
        <v>5</v>
      </c>
    </row>
    <row r="271" spans="16:16" x14ac:dyDescent="0.3">
      <c r="P271" s="4">
        <v>5</v>
      </c>
    </row>
    <row r="272" spans="16:16" x14ac:dyDescent="0.3">
      <c r="P272" s="3">
        <v>5</v>
      </c>
    </row>
    <row r="273" spans="16:16" x14ac:dyDescent="0.3">
      <c r="P273" s="4">
        <v>5</v>
      </c>
    </row>
    <row r="274" spans="16:16" x14ac:dyDescent="0.3">
      <c r="P274" s="3">
        <v>5</v>
      </c>
    </row>
    <row r="275" spans="16:16" x14ac:dyDescent="0.3">
      <c r="P275" s="4">
        <v>5</v>
      </c>
    </row>
    <row r="276" spans="16:16" x14ac:dyDescent="0.3">
      <c r="P276" s="3">
        <v>5</v>
      </c>
    </row>
    <row r="277" spans="16:16" x14ac:dyDescent="0.3">
      <c r="P277" s="4">
        <v>5</v>
      </c>
    </row>
    <row r="278" spans="16:16" x14ac:dyDescent="0.3">
      <c r="P278" s="3">
        <v>5</v>
      </c>
    </row>
    <row r="279" spans="16:16" x14ac:dyDescent="0.3">
      <c r="P279" s="4">
        <v>5</v>
      </c>
    </row>
    <row r="280" spans="16:16" x14ac:dyDescent="0.3">
      <c r="P280" s="3">
        <v>5</v>
      </c>
    </row>
    <row r="281" spans="16:16" x14ac:dyDescent="0.3">
      <c r="P281" s="4">
        <v>5</v>
      </c>
    </row>
    <row r="282" spans="16:16" x14ac:dyDescent="0.3">
      <c r="P282" s="3">
        <v>5</v>
      </c>
    </row>
    <row r="283" spans="16:16" x14ac:dyDescent="0.3">
      <c r="P283" s="4">
        <v>5</v>
      </c>
    </row>
    <row r="284" spans="16:16" x14ac:dyDescent="0.3">
      <c r="P284" s="3">
        <v>5</v>
      </c>
    </row>
    <row r="285" spans="16:16" x14ac:dyDescent="0.3">
      <c r="P285" s="4">
        <v>5</v>
      </c>
    </row>
    <row r="286" spans="16:16" x14ac:dyDescent="0.3">
      <c r="P286" s="3">
        <v>5</v>
      </c>
    </row>
    <row r="287" spans="16:16" x14ac:dyDescent="0.3">
      <c r="P287" s="4">
        <v>5</v>
      </c>
    </row>
    <row r="288" spans="16:16" x14ac:dyDescent="0.3">
      <c r="P288" s="3">
        <v>5</v>
      </c>
    </row>
    <row r="289" spans="16:16" x14ac:dyDescent="0.3">
      <c r="P289" s="4">
        <v>5</v>
      </c>
    </row>
    <row r="290" spans="16:16" x14ac:dyDescent="0.3">
      <c r="P290" s="3">
        <v>5</v>
      </c>
    </row>
    <row r="291" spans="16:16" x14ac:dyDescent="0.3">
      <c r="P291" s="4">
        <v>5</v>
      </c>
    </row>
    <row r="292" spans="16:16" x14ac:dyDescent="0.3">
      <c r="P292" s="3">
        <v>5</v>
      </c>
    </row>
    <row r="293" spans="16:16" x14ac:dyDescent="0.3">
      <c r="P293" s="4">
        <v>5</v>
      </c>
    </row>
    <row r="294" spans="16:16" x14ac:dyDescent="0.3">
      <c r="P294" s="3">
        <v>5</v>
      </c>
    </row>
    <row r="295" spans="16:16" x14ac:dyDescent="0.3">
      <c r="P295" s="4">
        <v>5</v>
      </c>
    </row>
    <row r="296" spans="16:16" x14ac:dyDescent="0.3">
      <c r="P296" s="3">
        <v>5</v>
      </c>
    </row>
    <row r="297" spans="16:16" x14ac:dyDescent="0.3">
      <c r="P297" s="4">
        <v>5</v>
      </c>
    </row>
    <row r="298" spans="16:16" x14ac:dyDescent="0.3">
      <c r="P298" s="3">
        <v>5</v>
      </c>
    </row>
    <row r="299" spans="16:16" x14ac:dyDescent="0.3">
      <c r="P299" s="4">
        <v>5</v>
      </c>
    </row>
    <row r="300" spans="16:16" x14ac:dyDescent="0.3">
      <c r="P300" s="3">
        <v>5</v>
      </c>
    </row>
    <row r="301" spans="16:16" x14ac:dyDescent="0.3">
      <c r="P301" s="4">
        <v>5</v>
      </c>
    </row>
    <row r="302" spans="16:16" x14ac:dyDescent="0.3">
      <c r="P302" s="3">
        <v>5</v>
      </c>
    </row>
    <row r="303" spans="16:16" x14ac:dyDescent="0.3">
      <c r="P303" s="4">
        <v>5</v>
      </c>
    </row>
    <row r="304" spans="16:16" x14ac:dyDescent="0.3">
      <c r="P304" s="3">
        <v>5</v>
      </c>
    </row>
    <row r="305" spans="16:16" x14ac:dyDescent="0.3">
      <c r="P305" s="4">
        <v>5</v>
      </c>
    </row>
    <row r="306" spans="16:16" x14ac:dyDescent="0.3">
      <c r="P306" s="3">
        <v>5</v>
      </c>
    </row>
    <row r="307" spans="16:16" x14ac:dyDescent="0.3">
      <c r="P307" s="4">
        <v>5</v>
      </c>
    </row>
    <row r="308" spans="16:16" x14ac:dyDescent="0.3">
      <c r="P308" s="3">
        <v>5</v>
      </c>
    </row>
    <row r="309" spans="16:16" x14ac:dyDescent="0.3">
      <c r="P309" s="4">
        <v>5</v>
      </c>
    </row>
    <row r="310" spans="16:16" x14ac:dyDescent="0.3">
      <c r="P310" s="3">
        <v>5</v>
      </c>
    </row>
    <row r="311" spans="16:16" x14ac:dyDescent="0.3">
      <c r="P311" s="4">
        <v>5</v>
      </c>
    </row>
    <row r="312" spans="16:16" x14ac:dyDescent="0.3">
      <c r="P312" s="3">
        <v>5</v>
      </c>
    </row>
    <row r="313" spans="16:16" x14ac:dyDescent="0.3">
      <c r="P313" s="4">
        <v>5</v>
      </c>
    </row>
    <row r="314" spans="16:16" x14ac:dyDescent="0.3">
      <c r="P314" s="3">
        <v>5</v>
      </c>
    </row>
    <row r="315" spans="16:16" x14ac:dyDescent="0.3">
      <c r="P315" s="4">
        <v>5</v>
      </c>
    </row>
    <row r="316" spans="16:16" x14ac:dyDescent="0.3">
      <c r="P316" s="3">
        <v>5</v>
      </c>
    </row>
    <row r="317" spans="16:16" x14ac:dyDescent="0.3">
      <c r="P317" s="4">
        <v>5</v>
      </c>
    </row>
    <row r="318" spans="16:16" x14ac:dyDescent="0.3">
      <c r="P318" s="3">
        <v>5</v>
      </c>
    </row>
    <row r="319" spans="16:16" x14ac:dyDescent="0.3">
      <c r="P319" s="4">
        <v>5</v>
      </c>
    </row>
    <row r="320" spans="16:16" x14ac:dyDescent="0.3">
      <c r="P320" s="3">
        <v>5</v>
      </c>
    </row>
    <row r="321" spans="16:16" x14ac:dyDescent="0.3">
      <c r="P321" s="4">
        <v>5</v>
      </c>
    </row>
    <row r="322" spans="16:16" x14ac:dyDescent="0.3">
      <c r="P322" s="3">
        <v>5</v>
      </c>
    </row>
    <row r="323" spans="16:16" x14ac:dyDescent="0.3">
      <c r="P323" s="4">
        <v>5</v>
      </c>
    </row>
    <row r="324" spans="16:16" x14ac:dyDescent="0.3">
      <c r="P324" s="3">
        <v>5</v>
      </c>
    </row>
    <row r="325" spans="16:16" x14ac:dyDescent="0.3">
      <c r="P325" s="4">
        <v>5</v>
      </c>
    </row>
    <row r="326" spans="16:16" x14ac:dyDescent="0.3">
      <c r="P326" s="3">
        <v>5</v>
      </c>
    </row>
    <row r="327" spans="16:16" x14ac:dyDescent="0.3">
      <c r="P327" s="4">
        <v>5</v>
      </c>
    </row>
    <row r="328" spans="16:16" x14ac:dyDescent="0.3">
      <c r="P328" s="3">
        <v>5</v>
      </c>
    </row>
    <row r="329" spans="16:16" x14ac:dyDescent="0.3">
      <c r="P329" s="4">
        <v>5</v>
      </c>
    </row>
    <row r="330" spans="16:16" x14ac:dyDescent="0.3">
      <c r="P330" s="3">
        <v>5</v>
      </c>
    </row>
    <row r="331" spans="16:16" x14ac:dyDescent="0.3">
      <c r="P331" s="4">
        <v>5</v>
      </c>
    </row>
    <row r="332" spans="16:16" x14ac:dyDescent="0.3">
      <c r="P332" s="3">
        <v>5</v>
      </c>
    </row>
    <row r="333" spans="16:16" x14ac:dyDescent="0.3">
      <c r="P333" s="4">
        <v>5</v>
      </c>
    </row>
    <row r="334" spans="16:16" x14ac:dyDescent="0.3">
      <c r="P334" s="3">
        <v>5</v>
      </c>
    </row>
    <row r="335" spans="16:16" x14ac:dyDescent="0.3">
      <c r="P335" s="4">
        <v>5</v>
      </c>
    </row>
    <row r="336" spans="16:16" x14ac:dyDescent="0.3">
      <c r="P336" s="3">
        <v>5</v>
      </c>
    </row>
    <row r="337" spans="16:16" x14ac:dyDescent="0.3">
      <c r="P337" s="4">
        <v>5</v>
      </c>
    </row>
    <row r="338" spans="16:16" x14ac:dyDescent="0.3">
      <c r="P338" s="3">
        <v>5</v>
      </c>
    </row>
    <row r="339" spans="16:16" x14ac:dyDescent="0.3">
      <c r="P339" s="4">
        <v>5</v>
      </c>
    </row>
    <row r="340" spans="16:16" x14ac:dyDescent="0.3">
      <c r="P340" s="3">
        <v>5</v>
      </c>
    </row>
    <row r="341" spans="16:16" x14ac:dyDescent="0.3">
      <c r="P341" s="4">
        <v>5</v>
      </c>
    </row>
    <row r="342" spans="16:16" x14ac:dyDescent="0.3">
      <c r="P342" s="3">
        <v>5</v>
      </c>
    </row>
    <row r="343" spans="16:16" x14ac:dyDescent="0.3">
      <c r="P343" s="4">
        <v>5</v>
      </c>
    </row>
    <row r="344" spans="16:16" x14ac:dyDescent="0.3">
      <c r="P344" s="3">
        <v>5</v>
      </c>
    </row>
    <row r="345" spans="16:16" x14ac:dyDescent="0.3">
      <c r="P345" s="4">
        <v>5</v>
      </c>
    </row>
    <row r="346" spans="16:16" x14ac:dyDescent="0.3">
      <c r="P346" s="3">
        <v>5</v>
      </c>
    </row>
    <row r="347" spans="16:16" x14ac:dyDescent="0.3">
      <c r="P347" s="4">
        <v>5</v>
      </c>
    </row>
    <row r="348" spans="16:16" x14ac:dyDescent="0.3">
      <c r="P348" s="3">
        <v>5</v>
      </c>
    </row>
    <row r="349" spans="16:16" x14ac:dyDescent="0.3">
      <c r="P349" s="4">
        <v>5</v>
      </c>
    </row>
    <row r="350" spans="16:16" x14ac:dyDescent="0.3">
      <c r="P350" s="3">
        <v>5</v>
      </c>
    </row>
    <row r="351" spans="16:16" x14ac:dyDescent="0.3">
      <c r="P351" s="4">
        <v>5</v>
      </c>
    </row>
    <row r="352" spans="16:16" x14ac:dyDescent="0.3">
      <c r="P352" s="3">
        <v>5</v>
      </c>
    </row>
    <row r="353" spans="16:16" x14ac:dyDescent="0.3">
      <c r="P353" s="4">
        <v>5</v>
      </c>
    </row>
    <row r="354" spans="16:16" x14ac:dyDescent="0.3">
      <c r="P354" s="3">
        <v>5</v>
      </c>
    </row>
    <row r="355" spans="16:16" x14ac:dyDescent="0.3">
      <c r="P355" s="4">
        <v>5</v>
      </c>
    </row>
    <row r="356" spans="16:16" x14ac:dyDescent="0.3">
      <c r="P356" s="3">
        <v>5</v>
      </c>
    </row>
    <row r="357" spans="16:16" x14ac:dyDescent="0.3">
      <c r="P357" s="4">
        <v>5</v>
      </c>
    </row>
    <row r="358" spans="16:16" x14ac:dyDescent="0.3">
      <c r="P358" s="3">
        <v>5</v>
      </c>
    </row>
    <row r="359" spans="16:16" x14ac:dyDescent="0.3">
      <c r="P359" s="4">
        <v>5</v>
      </c>
    </row>
    <row r="360" spans="16:16" x14ac:dyDescent="0.3">
      <c r="P360" s="3">
        <v>5</v>
      </c>
    </row>
    <row r="361" spans="16:16" x14ac:dyDescent="0.3">
      <c r="P361" s="4">
        <v>5</v>
      </c>
    </row>
    <row r="362" spans="16:16" x14ac:dyDescent="0.3">
      <c r="P362" s="3">
        <v>5</v>
      </c>
    </row>
    <row r="363" spans="16:16" x14ac:dyDescent="0.3">
      <c r="P363" s="4">
        <v>5</v>
      </c>
    </row>
    <row r="364" spans="16:16" x14ac:dyDescent="0.3">
      <c r="P364" s="3">
        <v>5</v>
      </c>
    </row>
    <row r="365" spans="16:16" x14ac:dyDescent="0.3">
      <c r="P365" s="4">
        <v>5</v>
      </c>
    </row>
    <row r="366" spans="16:16" x14ac:dyDescent="0.3">
      <c r="P366" s="3">
        <v>5</v>
      </c>
    </row>
    <row r="367" spans="16:16" x14ac:dyDescent="0.3">
      <c r="P367" s="4">
        <v>5</v>
      </c>
    </row>
    <row r="368" spans="16:16" x14ac:dyDescent="0.3">
      <c r="P368" s="3">
        <v>5</v>
      </c>
    </row>
    <row r="369" spans="16:16" x14ac:dyDescent="0.3">
      <c r="P369" s="4">
        <v>5</v>
      </c>
    </row>
    <row r="370" spans="16:16" x14ac:dyDescent="0.3">
      <c r="P370" s="3">
        <v>5</v>
      </c>
    </row>
    <row r="371" spans="16:16" x14ac:dyDescent="0.3">
      <c r="P371" s="4">
        <v>5</v>
      </c>
    </row>
    <row r="372" spans="16:16" x14ac:dyDescent="0.3">
      <c r="P372" s="3">
        <v>5</v>
      </c>
    </row>
    <row r="373" spans="16:16" x14ac:dyDescent="0.3">
      <c r="P373" s="4">
        <v>5</v>
      </c>
    </row>
    <row r="374" spans="16:16" x14ac:dyDescent="0.3">
      <c r="P374" s="3">
        <v>5</v>
      </c>
    </row>
    <row r="375" spans="16:16" x14ac:dyDescent="0.3">
      <c r="P375" s="4">
        <v>5</v>
      </c>
    </row>
    <row r="376" spans="16:16" x14ac:dyDescent="0.3">
      <c r="P376" s="3">
        <v>5</v>
      </c>
    </row>
    <row r="377" spans="16:16" x14ac:dyDescent="0.3">
      <c r="P377" s="4">
        <v>5</v>
      </c>
    </row>
    <row r="378" spans="16:16" x14ac:dyDescent="0.3">
      <c r="P378" s="3">
        <v>5</v>
      </c>
    </row>
    <row r="379" spans="16:16" x14ac:dyDescent="0.3">
      <c r="P379" s="4">
        <v>5</v>
      </c>
    </row>
    <row r="380" spans="16:16" x14ac:dyDescent="0.3">
      <c r="P380" s="3">
        <v>5</v>
      </c>
    </row>
    <row r="381" spans="16:16" x14ac:dyDescent="0.3">
      <c r="P381" s="4">
        <v>5</v>
      </c>
    </row>
    <row r="382" spans="16:16" x14ac:dyDescent="0.3">
      <c r="P382" s="3">
        <v>5</v>
      </c>
    </row>
    <row r="383" spans="16:16" x14ac:dyDescent="0.3">
      <c r="P383" s="4">
        <v>5</v>
      </c>
    </row>
    <row r="384" spans="16:16" x14ac:dyDescent="0.3">
      <c r="P384" s="3">
        <v>5</v>
      </c>
    </row>
    <row r="385" spans="16:16" x14ac:dyDescent="0.3">
      <c r="P385" s="4">
        <v>5</v>
      </c>
    </row>
    <row r="386" spans="16:16" x14ac:dyDescent="0.3">
      <c r="P386" s="3">
        <v>5</v>
      </c>
    </row>
    <row r="387" spans="16:16" x14ac:dyDescent="0.3">
      <c r="P387" s="4">
        <v>5</v>
      </c>
    </row>
    <row r="388" spans="16:16" x14ac:dyDescent="0.3">
      <c r="P388" s="3">
        <v>5</v>
      </c>
    </row>
    <row r="389" spans="16:16" x14ac:dyDescent="0.3">
      <c r="P389" s="4">
        <v>5</v>
      </c>
    </row>
    <row r="390" spans="16:16" x14ac:dyDescent="0.3">
      <c r="P390" s="3">
        <v>5</v>
      </c>
    </row>
    <row r="391" spans="16:16" x14ac:dyDescent="0.3">
      <c r="P391" s="4">
        <v>5</v>
      </c>
    </row>
    <row r="392" spans="16:16" x14ac:dyDescent="0.3">
      <c r="P392" s="3">
        <v>5</v>
      </c>
    </row>
    <row r="393" spans="16:16" x14ac:dyDescent="0.3">
      <c r="P393" s="4">
        <v>5</v>
      </c>
    </row>
    <row r="394" spans="16:16" x14ac:dyDescent="0.3">
      <c r="P394" s="3">
        <v>5.5</v>
      </c>
    </row>
    <row r="395" spans="16:16" x14ac:dyDescent="0.3">
      <c r="P395" s="4">
        <v>6</v>
      </c>
    </row>
    <row r="396" spans="16:16" x14ac:dyDescent="0.3">
      <c r="P396" s="3">
        <v>6</v>
      </c>
    </row>
    <row r="397" spans="16:16" x14ac:dyDescent="0.3">
      <c r="P397" s="4">
        <v>6</v>
      </c>
    </row>
    <row r="398" spans="16:16" x14ac:dyDescent="0.3">
      <c r="P398" s="3">
        <v>6</v>
      </c>
    </row>
    <row r="399" spans="16:16" x14ac:dyDescent="0.3">
      <c r="P399" s="4">
        <v>6</v>
      </c>
    </row>
    <row r="400" spans="16:16" x14ac:dyDescent="0.3">
      <c r="P400" s="3">
        <v>6</v>
      </c>
    </row>
    <row r="401" spans="16:16" x14ac:dyDescent="0.3">
      <c r="P401" s="4">
        <v>6</v>
      </c>
    </row>
    <row r="402" spans="16:16" x14ac:dyDescent="0.3">
      <c r="P402" s="3">
        <v>6</v>
      </c>
    </row>
    <row r="403" spans="16:16" x14ac:dyDescent="0.3">
      <c r="P403" s="4">
        <v>6</v>
      </c>
    </row>
    <row r="404" spans="16:16" x14ac:dyDescent="0.3">
      <c r="P404" s="3">
        <v>6</v>
      </c>
    </row>
    <row r="405" spans="16:16" x14ac:dyDescent="0.3">
      <c r="P405" s="4">
        <v>6</v>
      </c>
    </row>
    <row r="406" spans="16:16" x14ac:dyDescent="0.3">
      <c r="P406" s="3">
        <v>6</v>
      </c>
    </row>
    <row r="407" spans="16:16" x14ac:dyDescent="0.3">
      <c r="P407" s="4">
        <v>6</v>
      </c>
    </row>
    <row r="408" spans="16:16" x14ac:dyDescent="0.3">
      <c r="P408" s="3">
        <v>6</v>
      </c>
    </row>
    <row r="409" spans="16:16" x14ac:dyDescent="0.3">
      <c r="P409" s="4">
        <v>6</v>
      </c>
    </row>
    <row r="410" spans="16:16" x14ac:dyDescent="0.3">
      <c r="P410" s="3">
        <v>6</v>
      </c>
    </row>
    <row r="411" spans="16:16" x14ac:dyDescent="0.3">
      <c r="P411" s="4">
        <v>6</v>
      </c>
    </row>
    <row r="412" spans="16:16" x14ac:dyDescent="0.3">
      <c r="P412" s="3">
        <v>6</v>
      </c>
    </row>
    <row r="413" spans="16:16" x14ac:dyDescent="0.3">
      <c r="P413" s="4">
        <v>6</v>
      </c>
    </row>
    <row r="414" spans="16:16" x14ac:dyDescent="0.3">
      <c r="P414" s="3">
        <v>6</v>
      </c>
    </row>
    <row r="415" spans="16:16" x14ac:dyDescent="0.3">
      <c r="P415" s="4">
        <v>6</v>
      </c>
    </row>
    <row r="416" spans="16:16" x14ac:dyDescent="0.3">
      <c r="P416" s="3">
        <v>6</v>
      </c>
    </row>
    <row r="417" spans="16:16" x14ac:dyDescent="0.3">
      <c r="P417" s="4">
        <v>6</v>
      </c>
    </row>
    <row r="418" spans="16:16" x14ac:dyDescent="0.3">
      <c r="P418" s="3">
        <v>6</v>
      </c>
    </row>
    <row r="419" spans="16:16" x14ac:dyDescent="0.3">
      <c r="P419" s="4">
        <v>6</v>
      </c>
    </row>
    <row r="420" spans="16:16" x14ac:dyDescent="0.3">
      <c r="P420" s="3">
        <v>6</v>
      </c>
    </row>
    <row r="421" spans="16:16" x14ac:dyDescent="0.3">
      <c r="P421" s="4">
        <v>6</v>
      </c>
    </row>
    <row r="422" spans="16:16" x14ac:dyDescent="0.3">
      <c r="P422" s="3">
        <v>6</v>
      </c>
    </row>
    <row r="423" spans="16:16" x14ac:dyDescent="0.3">
      <c r="P423" s="4">
        <v>6</v>
      </c>
    </row>
    <row r="424" spans="16:16" x14ac:dyDescent="0.3">
      <c r="P424" s="3">
        <v>6</v>
      </c>
    </row>
    <row r="425" spans="16:16" x14ac:dyDescent="0.3">
      <c r="P425" s="4">
        <v>6</v>
      </c>
    </row>
    <row r="426" spans="16:16" x14ac:dyDescent="0.3">
      <c r="P426" s="3">
        <v>6</v>
      </c>
    </row>
    <row r="427" spans="16:16" x14ac:dyDescent="0.3">
      <c r="P427" s="4">
        <v>6</v>
      </c>
    </row>
    <row r="428" spans="16:16" x14ac:dyDescent="0.3">
      <c r="P428" s="3">
        <v>6</v>
      </c>
    </row>
    <row r="429" spans="16:16" x14ac:dyDescent="0.3">
      <c r="P429" s="4">
        <v>6</v>
      </c>
    </row>
    <row r="430" spans="16:16" x14ac:dyDescent="0.3">
      <c r="P430" s="3">
        <v>6</v>
      </c>
    </row>
    <row r="431" spans="16:16" x14ac:dyDescent="0.3">
      <c r="P431" s="4">
        <v>6</v>
      </c>
    </row>
    <row r="432" spans="16:16" x14ac:dyDescent="0.3">
      <c r="P432" s="3">
        <v>6</v>
      </c>
    </row>
    <row r="433" spans="16:16" x14ac:dyDescent="0.3">
      <c r="P433" s="4">
        <v>6</v>
      </c>
    </row>
    <row r="434" spans="16:16" x14ac:dyDescent="0.3">
      <c r="P434" s="3">
        <v>6</v>
      </c>
    </row>
    <row r="435" spans="16:16" x14ac:dyDescent="0.3">
      <c r="P435" s="4">
        <v>6</v>
      </c>
    </row>
    <row r="436" spans="16:16" x14ac:dyDescent="0.3">
      <c r="P436" s="3">
        <v>6</v>
      </c>
    </row>
    <row r="437" spans="16:16" x14ac:dyDescent="0.3">
      <c r="P437" s="4">
        <v>6</v>
      </c>
    </row>
    <row r="438" spans="16:16" x14ac:dyDescent="0.3">
      <c r="P438" s="3">
        <v>6</v>
      </c>
    </row>
    <row r="439" spans="16:16" x14ac:dyDescent="0.3">
      <c r="P439" s="4">
        <v>6</v>
      </c>
    </row>
    <row r="440" spans="16:16" x14ac:dyDescent="0.3">
      <c r="P440" s="3">
        <v>6</v>
      </c>
    </row>
    <row r="441" spans="16:16" x14ac:dyDescent="0.3">
      <c r="P441" s="4">
        <v>6</v>
      </c>
    </row>
    <row r="442" spans="16:16" x14ac:dyDescent="0.3">
      <c r="P442" s="3">
        <v>6</v>
      </c>
    </row>
    <row r="443" spans="16:16" x14ac:dyDescent="0.3">
      <c r="P443" s="4">
        <v>6</v>
      </c>
    </row>
    <row r="444" spans="16:16" x14ac:dyDescent="0.3">
      <c r="P444" s="3">
        <v>6</v>
      </c>
    </row>
    <row r="445" spans="16:16" x14ac:dyDescent="0.3">
      <c r="P445" s="4">
        <v>6</v>
      </c>
    </row>
    <row r="446" spans="16:16" x14ac:dyDescent="0.3">
      <c r="P446" s="3">
        <v>6</v>
      </c>
    </row>
    <row r="447" spans="16:16" x14ac:dyDescent="0.3">
      <c r="P447" s="4">
        <v>6</v>
      </c>
    </row>
    <row r="448" spans="16:16" x14ac:dyDescent="0.3">
      <c r="P448" s="3">
        <v>6</v>
      </c>
    </row>
    <row r="449" spans="16:16" x14ac:dyDescent="0.3">
      <c r="P449" s="4">
        <v>6</v>
      </c>
    </row>
    <row r="450" spans="16:16" x14ac:dyDescent="0.3">
      <c r="P450" s="3">
        <v>6</v>
      </c>
    </row>
    <row r="451" spans="16:16" x14ac:dyDescent="0.3">
      <c r="P451" s="4">
        <v>6</v>
      </c>
    </row>
    <row r="452" spans="16:16" x14ac:dyDescent="0.3">
      <c r="P452" s="3">
        <v>6</v>
      </c>
    </row>
    <row r="453" spans="16:16" x14ac:dyDescent="0.3">
      <c r="P453" s="4">
        <v>6</v>
      </c>
    </row>
    <row r="454" spans="16:16" x14ac:dyDescent="0.3">
      <c r="P454" s="3">
        <v>6</v>
      </c>
    </row>
    <row r="455" spans="16:16" x14ac:dyDescent="0.3">
      <c r="P455" s="4">
        <v>6</v>
      </c>
    </row>
    <row r="456" spans="16:16" x14ac:dyDescent="0.3">
      <c r="P456" s="3">
        <v>6</v>
      </c>
    </row>
    <row r="457" spans="16:16" x14ac:dyDescent="0.3">
      <c r="P457" s="4">
        <v>6</v>
      </c>
    </row>
    <row r="458" spans="16:16" x14ac:dyDescent="0.3">
      <c r="P458" s="3">
        <v>6</v>
      </c>
    </row>
    <row r="459" spans="16:16" x14ac:dyDescent="0.3">
      <c r="P459" s="4">
        <v>6</v>
      </c>
    </row>
    <row r="460" spans="16:16" x14ac:dyDescent="0.3">
      <c r="P460" s="3">
        <v>6</v>
      </c>
    </row>
    <row r="461" spans="16:16" x14ac:dyDescent="0.3">
      <c r="P461" s="4">
        <v>6</v>
      </c>
    </row>
    <row r="462" spans="16:16" x14ac:dyDescent="0.3">
      <c r="P462" s="3">
        <v>6</v>
      </c>
    </row>
    <row r="463" spans="16:16" x14ac:dyDescent="0.3">
      <c r="P463" s="4">
        <v>6</v>
      </c>
    </row>
    <row r="464" spans="16:16" x14ac:dyDescent="0.3">
      <c r="P464" s="3">
        <v>6</v>
      </c>
    </row>
    <row r="465" spans="16:16" x14ac:dyDescent="0.3">
      <c r="P465" s="4">
        <v>6</v>
      </c>
    </row>
    <row r="466" spans="16:16" x14ac:dyDescent="0.3">
      <c r="P466" s="3">
        <v>6</v>
      </c>
    </row>
    <row r="467" spans="16:16" x14ac:dyDescent="0.3">
      <c r="P467" s="4">
        <v>6</v>
      </c>
    </row>
    <row r="468" spans="16:16" x14ac:dyDescent="0.3">
      <c r="P468" s="3">
        <v>6</v>
      </c>
    </row>
    <row r="469" spans="16:16" x14ac:dyDescent="0.3">
      <c r="P469" s="4">
        <v>6</v>
      </c>
    </row>
    <row r="470" spans="16:16" x14ac:dyDescent="0.3">
      <c r="P470" s="3">
        <v>6</v>
      </c>
    </row>
    <row r="471" spans="16:16" x14ac:dyDescent="0.3">
      <c r="P471" s="4">
        <v>6</v>
      </c>
    </row>
    <row r="472" spans="16:16" x14ac:dyDescent="0.3">
      <c r="P472" s="3">
        <v>6</v>
      </c>
    </row>
    <row r="473" spans="16:16" x14ac:dyDescent="0.3">
      <c r="P473" s="4">
        <v>6</v>
      </c>
    </row>
    <row r="474" spans="16:16" x14ac:dyDescent="0.3">
      <c r="P474" s="3">
        <v>6</v>
      </c>
    </row>
    <row r="475" spans="16:16" x14ac:dyDescent="0.3">
      <c r="P475" s="4">
        <v>6</v>
      </c>
    </row>
    <row r="476" spans="16:16" x14ac:dyDescent="0.3">
      <c r="P476" s="3">
        <v>6</v>
      </c>
    </row>
    <row r="477" spans="16:16" x14ac:dyDescent="0.3">
      <c r="P477" s="4">
        <v>6</v>
      </c>
    </row>
    <row r="478" spans="16:16" x14ac:dyDescent="0.3">
      <c r="P478" s="3">
        <v>6</v>
      </c>
    </row>
    <row r="479" spans="16:16" x14ac:dyDescent="0.3">
      <c r="P479" s="4">
        <v>6</v>
      </c>
    </row>
    <row r="480" spans="16:16" x14ac:dyDescent="0.3">
      <c r="P480" s="3">
        <v>6</v>
      </c>
    </row>
    <row r="481" spans="16:16" x14ac:dyDescent="0.3">
      <c r="P481" s="4">
        <v>6</v>
      </c>
    </row>
    <row r="482" spans="16:16" x14ac:dyDescent="0.3">
      <c r="P482" s="3">
        <v>6</v>
      </c>
    </row>
    <row r="483" spans="16:16" x14ac:dyDescent="0.3">
      <c r="P483" s="4">
        <v>6</v>
      </c>
    </row>
    <row r="484" spans="16:16" x14ac:dyDescent="0.3">
      <c r="P484" s="3">
        <v>6</v>
      </c>
    </row>
    <row r="485" spans="16:16" x14ac:dyDescent="0.3">
      <c r="P485" s="4">
        <v>6</v>
      </c>
    </row>
    <row r="486" spans="16:16" x14ac:dyDescent="0.3">
      <c r="P486" s="3">
        <v>6</v>
      </c>
    </row>
    <row r="487" spans="16:16" x14ac:dyDescent="0.3">
      <c r="P487" s="4">
        <v>6</v>
      </c>
    </row>
    <row r="488" spans="16:16" x14ac:dyDescent="0.3">
      <c r="P488" s="3">
        <v>6</v>
      </c>
    </row>
    <row r="489" spans="16:16" x14ac:dyDescent="0.3">
      <c r="P489" s="4">
        <v>6</v>
      </c>
    </row>
    <row r="490" spans="16:16" x14ac:dyDescent="0.3">
      <c r="P490" s="3">
        <v>6</v>
      </c>
    </row>
    <row r="491" spans="16:16" x14ac:dyDescent="0.3">
      <c r="P491" s="4">
        <v>6</v>
      </c>
    </row>
    <row r="492" spans="16:16" x14ac:dyDescent="0.3">
      <c r="P492" s="3">
        <v>6</v>
      </c>
    </row>
    <row r="493" spans="16:16" x14ac:dyDescent="0.3">
      <c r="P493" s="4">
        <v>6</v>
      </c>
    </row>
    <row r="494" spans="16:16" x14ac:dyDescent="0.3">
      <c r="P494" s="3">
        <v>6</v>
      </c>
    </row>
    <row r="495" spans="16:16" x14ac:dyDescent="0.3">
      <c r="P495" s="4">
        <v>6.5</v>
      </c>
    </row>
    <row r="496" spans="16:16" x14ac:dyDescent="0.3">
      <c r="P496" s="3">
        <v>7</v>
      </c>
    </row>
    <row r="497" spans="16:16" x14ac:dyDescent="0.3">
      <c r="P497" s="4">
        <v>7</v>
      </c>
    </row>
    <row r="498" spans="16:16" x14ac:dyDescent="0.3">
      <c r="P498" s="3">
        <v>7</v>
      </c>
    </row>
    <row r="499" spans="16:16" x14ac:dyDescent="0.3">
      <c r="P499" s="4">
        <v>7</v>
      </c>
    </row>
    <row r="500" spans="16:16" x14ac:dyDescent="0.3">
      <c r="P500" s="3">
        <v>7</v>
      </c>
    </row>
    <row r="501" spans="16:16" x14ac:dyDescent="0.3">
      <c r="P501" s="4">
        <v>7</v>
      </c>
    </row>
    <row r="502" spans="16:16" x14ac:dyDescent="0.3">
      <c r="P502" s="3">
        <v>7</v>
      </c>
    </row>
    <row r="503" spans="16:16" x14ac:dyDescent="0.3">
      <c r="P503" s="4">
        <v>7</v>
      </c>
    </row>
    <row r="504" spans="16:16" x14ac:dyDescent="0.3">
      <c r="P504" s="3">
        <v>7</v>
      </c>
    </row>
    <row r="505" spans="16:16" x14ac:dyDescent="0.3">
      <c r="P505" s="4">
        <v>7</v>
      </c>
    </row>
    <row r="506" spans="16:16" x14ac:dyDescent="0.3">
      <c r="P506" s="3">
        <v>7</v>
      </c>
    </row>
    <row r="507" spans="16:16" x14ac:dyDescent="0.3">
      <c r="P507" s="4">
        <v>7</v>
      </c>
    </row>
    <row r="508" spans="16:16" x14ac:dyDescent="0.3">
      <c r="P508" s="3">
        <v>7</v>
      </c>
    </row>
    <row r="509" spans="16:16" x14ac:dyDescent="0.3">
      <c r="P509" s="4">
        <v>7</v>
      </c>
    </row>
    <row r="510" spans="16:16" x14ac:dyDescent="0.3">
      <c r="P510" s="3">
        <v>7</v>
      </c>
    </row>
    <row r="511" spans="16:16" x14ac:dyDescent="0.3">
      <c r="P511" s="4">
        <v>7</v>
      </c>
    </row>
    <row r="512" spans="16:16" x14ac:dyDescent="0.3">
      <c r="P512" s="3">
        <v>7</v>
      </c>
    </row>
    <row r="513" spans="16:16" x14ac:dyDescent="0.3">
      <c r="P513" s="4">
        <v>7</v>
      </c>
    </row>
    <row r="514" spans="16:16" x14ac:dyDescent="0.3">
      <c r="P514" s="3">
        <v>7</v>
      </c>
    </row>
    <row r="515" spans="16:16" x14ac:dyDescent="0.3">
      <c r="P515" s="4">
        <v>7</v>
      </c>
    </row>
    <row r="516" spans="16:16" x14ac:dyDescent="0.3">
      <c r="P516" s="3">
        <v>7</v>
      </c>
    </row>
    <row r="517" spans="16:16" x14ac:dyDescent="0.3">
      <c r="P517" s="4">
        <v>7</v>
      </c>
    </row>
    <row r="518" spans="16:16" x14ac:dyDescent="0.3">
      <c r="P518" s="3">
        <v>7</v>
      </c>
    </row>
    <row r="519" spans="16:16" x14ac:dyDescent="0.3">
      <c r="P519" s="4">
        <v>7</v>
      </c>
    </row>
    <row r="520" spans="16:16" x14ac:dyDescent="0.3">
      <c r="P520" s="3">
        <v>7</v>
      </c>
    </row>
    <row r="521" spans="16:16" x14ac:dyDescent="0.3">
      <c r="P521" s="4">
        <v>7</v>
      </c>
    </row>
    <row r="522" spans="16:16" x14ac:dyDescent="0.3">
      <c r="P522" s="3">
        <v>7</v>
      </c>
    </row>
    <row r="523" spans="16:16" x14ac:dyDescent="0.3">
      <c r="P523" s="4">
        <v>7</v>
      </c>
    </row>
    <row r="524" spans="16:16" x14ac:dyDescent="0.3">
      <c r="P524" s="3">
        <v>7</v>
      </c>
    </row>
    <row r="525" spans="16:16" x14ac:dyDescent="0.3">
      <c r="P525" s="4">
        <v>7</v>
      </c>
    </row>
    <row r="526" spans="16:16" x14ac:dyDescent="0.3">
      <c r="P526" s="3">
        <v>7</v>
      </c>
    </row>
    <row r="527" spans="16:16" x14ac:dyDescent="0.3">
      <c r="P527" s="4">
        <v>7</v>
      </c>
    </row>
    <row r="528" spans="16:16" x14ac:dyDescent="0.3">
      <c r="P528" s="3">
        <v>7</v>
      </c>
    </row>
    <row r="529" spans="16:16" x14ac:dyDescent="0.3">
      <c r="P529" s="4">
        <v>7</v>
      </c>
    </row>
    <row r="530" spans="16:16" x14ac:dyDescent="0.3">
      <c r="P530" s="3">
        <v>7</v>
      </c>
    </row>
    <row r="531" spans="16:16" x14ac:dyDescent="0.3">
      <c r="P531" s="4">
        <v>7</v>
      </c>
    </row>
    <row r="532" spans="16:16" x14ac:dyDescent="0.3">
      <c r="P532" s="3">
        <v>7</v>
      </c>
    </row>
    <row r="533" spans="16:16" x14ac:dyDescent="0.3">
      <c r="P533" s="4">
        <v>7</v>
      </c>
    </row>
    <row r="534" spans="16:16" x14ac:dyDescent="0.3">
      <c r="P534" s="3">
        <v>7</v>
      </c>
    </row>
    <row r="535" spans="16:16" x14ac:dyDescent="0.3">
      <c r="P535" s="4">
        <v>7</v>
      </c>
    </row>
    <row r="536" spans="16:16" x14ac:dyDescent="0.3">
      <c r="P536" s="3">
        <v>7</v>
      </c>
    </row>
    <row r="537" spans="16:16" x14ac:dyDescent="0.3">
      <c r="P537" s="4">
        <v>7</v>
      </c>
    </row>
    <row r="538" spans="16:16" x14ac:dyDescent="0.3">
      <c r="P538" s="3">
        <v>7</v>
      </c>
    </row>
    <row r="539" spans="16:16" x14ac:dyDescent="0.3">
      <c r="P539" s="4">
        <v>7</v>
      </c>
    </row>
    <row r="540" spans="16:16" x14ac:dyDescent="0.3">
      <c r="P540" s="3">
        <v>7</v>
      </c>
    </row>
    <row r="541" spans="16:16" x14ac:dyDescent="0.3">
      <c r="P541" s="4">
        <v>7</v>
      </c>
    </row>
    <row r="542" spans="16:16" x14ac:dyDescent="0.3">
      <c r="P542" s="3">
        <v>7</v>
      </c>
    </row>
    <row r="543" spans="16:16" x14ac:dyDescent="0.3">
      <c r="P543" s="4">
        <v>7</v>
      </c>
    </row>
    <row r="544" spans="16:16" x14ac:dyDescent="0.3">
      <c r="P544" s="3">
        <v>7</v>
      </c>
    </row>
    <row r="545" spans="16:16" x14ac:dyDescent="0.3">
      <c r="P545" s="4">
        <v>7</v>
      </c>
    </row>
    <row r="546" spans="16:16" x14ac:dyDescent="0.3">
      <c r="P546" s="3">
        <v>7</v>
      </c>
    </row>
    <row r="547" spans="16:16" x14ac:dyDescent="0.3">
      <c r="P547" s="4">
        <v>7</v>
      </c>
    </row>
    <row r="548" spans="16:16" x14ac:dyDescent="0.3">
      <c r="P548" s="3">
        <v>7</v>
      </c>
    </row>
    <row r="549" spans="16:16" x14ac:dyDescent="0.3">
      <c r="P549" s="4">
        <v>7</v>
      </c>
    </row>
    <row r="550" spans="16:16" x14ac:dyDescent="0.3">
      <c r="P550" s="3">
        <v>7</v>
      </c>
    </row>
    <row r="551" spans="16:16" x14ac:dyDescent="0.3">
      <c r="P551" s="4">
        <v>7</v>
      </c>
    </row>
    <row r="552" spans="16:16" x14ac:dyDescent="0.3">
      <c r="P552" s="3">
        <v>7</v>
      </c>
    </row>
    <row r="553" spans="16:16" x14ac:dyDescent="0.3">
      <c r="P553" s="4">
        <v>7</v>
      </c>
    </row>
    <row r="554" spans="16:16" x14ac:dyDescent="0.3">
      <c r="P554" s="3">
        <v>7</v>
      </c>
    </row>
    <row r="555" spans="16:16" x14ac:dyDescent="0.3">
      <c r="P555" s="4">
        <v>7</v>
      </c>
    </row>
    <row r="556" spans="16:16" x14ac:dyDescent="0.3">
      <c r="P556" s="3">
        <v>7</v>
      </c>
    </row>
    <row r="557" spans="16:16" x14ac:dyDescent="0.3">
      <c r="P557" s="4">
        <v>7</v>
      </c>
    </row>
    <row r="558" spans="16:16" x14ac:dyDescent="0.3">
      <c r="P558" s="3">
        <v>7</v>
      </c>
    </row>
    <row r="559" spans="16:16" x14ac:dyDescent="0.3">
      <c r="P559" s="4">
        <v>7</v>
      </c>
    </row>
    <row r="560" spans="16:16" x14ac:dyDescent="0.3">
      <c r="P560" s="3">
        <v>7</v>
      </c>
    </row>
    <row r="561" spans="16:16" x14ac:dyDescent="0.3">
      <c r="P561" s="4">
        <v>7</v>
      </c>
    </row>
    <row r="562" spans="16:16" x14ac:dyDescent="0.3">
      <c r="P562" s="3">
        <v>7</v>
      </c>
    </row>
    <row r="563" spans="16:16" x14ac:dyDescent="0.3">
      <c r="P563" s="4">
        <v>7</v>
      </c>
    </row>
    <row r="564" spans="16:16" x14ac:dyDescent="0.3">
      <c r="P564" s="3">
        <v>7</v>
      </c>
    </row>
    <row r="565" spans="16:16" x14ac:dyDescent="0.3">
      <c r="P565" s="4">
        <v>7</v>
      </c>
    </row>
    <row r="566" spans="16:16" x14ac:dyDescent="0.3">
      <c r="P566" s="3">
        <v>7</v>
      </c>
    </row>
    <row r="567" spans="16:16" x14ac:dyDescent="0.3">
      <c r="P567" s="4">
        <v>7</v>
      </c>
    </row>
    <row r="568" spans="16:16" x14ac:dyDescent="0.3">
      <c r="P568" s="3">
        <v>7</v>
      </c>
    </row>
    <row r="569" spans="16:16" x14ac:dyDescent="0.3">
      <c r="P569" s="4">
        <v>7</v>
      </c>
    </row>
    <row r="570" spans="16:16" x14ac:dyDescent="0.3">
      <c r="P570" s="3">
        <v>7</v>
      </c>
    </row>
    <row r="571" spans="16:16" x14ac:dyDescent="0.3">
      <c r="P571" s="4">
        <v>7</v>
      </c>
    </row>
    <row r="572" spans="16:16" x14ac:dyDescent="0.3">
      <c r="P572" s="3">
        <v>7</v>
      </c>
    </row>
    <row r="573" spans="16:16" x14ac:dyDescent="0.3">
      <c r="P573" s="4">
        <v>7</v>
      </c>
    </row>
    <row r="574" spans="16:16" x14ac:dyDescent="0.3">
      <c r="P574" s="3">
        <v>7</v>
      </c>
    </row>
    <row r="575" spans="16:16" x14ac:dyDescent="0.3">
      <c r="P575" s="4">
        <v>7</v>
      </c>
    </row>
    <row r="576" spans="16:16" x14ac:dyDescent="0.3">
      <c r="P576" s="3">
        <v>7</v>
      </c>
    </row>
    <row r="577" spans="16:16" x14ac:dyDescent="0.3">
      <c r="P577" s="4">
        <v>7</v>
      </c>
    </row>
    <row r="578" spans="16:16" x14ac:dyDescent="0.3">
      <c r="P578" s="3">
        <v>7</v>
      </c>
    </row>
    <row r="579" spans="16:16" x14ac:dyDescent="0.3">
      <c r="P579" s="4">
        <v>7</v>
      </c>
    </row>
    <row r="580" spans="16:16" x14ac:dyDescent="0.3">
      <c r="P580" s="3">
        <v>7.5</v>
      </c>
    </row>
    <row r="581" spans="16:16" x14ac:dyDescent="0.3">
      <c r="P581" s="4">
        <v>8</v>
      </c>
    </row>
    <row r="582" spans="16:16" x14ac:dyDescent="0.3">
      <c r="P582" s="3">
        <v>8</v>
      </c>
    </row>
    <row r="583" spans="16:16" x14ac:dyDescent="0.3">
      <c r="P583" s="4">
        <v>8</v>
      </c>
    </row>
    <row r="584" spans="16:16" x14ac:dyDescent="0.3">
      <c r="P584" s="3">
        <v>8</v>
      </c>
    </row>
    <row r="585" spans="16:16" x14ac:dyDescent="0.3">
      <c r="P585" s="4">
        <v>8</v>
      </c>
    </row>
    <row r="586" spans="16:16" x14ac:dyDescent="0.3">
      <c r="P586" s="3">
        <v>8</v>
      </c>
    </row>
    <row r="587" spans="16:16" x14ac:dyDescent="0.3">
      <c r="P587" s="4">
        <v>8</v>
      </c>
    </row>
    <row r="588" spans="16:16" x14ac:dyDescent="0.3">
      <c r="P588" s="3">
        <v>8</v>
      </c>
    </row>
    <row r="589" spans="16:16" x14ac:dyDescent="0.3">
      <c r="P589" s="4">
        <v>8</v>
      </c>
    </row>
    <row r="590" spans="16:16" x14ac:dyDescent="0.3">
      <c r="P590" s="3">
        <v>8</v>
      </c>
    </row>
    <row r="591" spans="16:16" x14ac:dyDescent="0.3">
      <c r="P591" s="4">
        <v>8</v>
      </c>
    </row>
    <row r="592" spans="16:16" x14ac:dyDescent="0.3">
      <c r="P592" s="3">
        <v>8</v>
      </c>
    </row>
    <row r="593" spans="16:16" x14ac:dyDescent="0.3">
      <c r="P593" s="4">
        <v>8</v>
      </c>
    </row>
    <row r="594" spans="16:16" x14ac:dyDescent="0.3">
      <c r="P594" s="3">
        <v>8</v>
      </c>
    </row>
    <row r="595" spans="16:16" x14ac:dyDescent="0.3">
      <c r="P595" s="4">
        <v>8</v>
      </c>
    </row>
    <row r="596" spans="16:16" x14ac:dyDescent="0.3">
      <c r="P596" s="3">
        <v>8</v>
      </c>
    </row>
    <row r="597" spans="16:16" x14ac:dyDescent="0.3">
      <c r="P597" s="4">
        <v>8</v>
      </c>
    </row>
    <row r="598" spans="16:16" x14ac:dyDescent="0.3">
      <c r="P598" s="3">
        <v>8</v>
      </c>
    </row>
    <row r="599" spans="16:16" x14ac:dyDescent="0.3">
      <c r="P599" s="4">
        <v>8</v>
      </c>
    </row>
    <row r="600" spans="16:16" x14ac:dyDescent="0.3">
      <c r="P600" s="3">
        <v>8</v>
      </c>
    </row>
    <row r="601" spans="16:16" x14ac:dyDescent="0.3">
      <c r="P601" s="4">
        <v>8</v>
      </c>
    </row>
    <row r="602" spans="16:16" x14ac:dyDescent="0.3">
      <c r="P602" s="3">
        <v>8</v>
      </c>
    </row>
    <row r="603" spans="16:16" x14ac:dyDescent="0.3">
      <c r="P603" s="4">
        <v>8</v>
      </c>
    </row>
    <row r="604" spans="16:16" x14ac:dyDescent="0.3">
      <c r="P604" s="3">
        <v>8</v>
      </c>
    </row>
    <row r="605" spans="16:16" x14ac:dyDescent="0.3">
      <c r="P605" s="4">
        <v>8</v>
      </c>
    </row>
    <row r="606" spans="16:16" x14ac:dyDescent="0.3">
      <c r="P606" s="3">
        <v>8</v>
      </c>
    </row>
    <row r="607" spans="16:16" x14ac:dyDescent="0.3">
      <c r="P607" s="4">
        <v>8</v>
      </c>
    </row>
    <row r="608" spans="16:16" x14ac:dyDescent="0.3">
      <c r="P608" s="3">
        <v>8</v>
      </c>
    </row>
    <row r="609" spans="16:16" x14ac:dyDescent="0.3">
      <c r="P609" s="4">
        <v>8</v>
      </c>
    </row>
    <row r="610" spans="16:16" x14ac:dyDescent="0.3">
      <c r="P610" s="3">
        <v>8</v>
      </c>
    </row>
    <row r="611" spans="16:16" x14ac:dyDescent="0.3">
      <c r="P611" s="4">
        <v>8</v>
      </c>
    </row>
    <row r="612" spans="16:16" x14ac:dyDescent="0.3">
      <c r="P612" s="3">
        <v>8</v>
      </c>
    </row>
    <row r="613" spans="16:16" x14ac:dyDescent="0.3">
      <c r="P613" s="4">
        <v>8</v>
      </c>
    </row>
    <row r="614" spans="16:16" x14ac:dyDescent="0.3">
      <c r="P614" s="3">
        <v>8</v>
      </c>
    </row>
    <row r="615" spans="16:16" x14ac:dyDescent="0.3">
      <c r="P615" s="4">
        <v>8</v>
      </c>
    </row>
    <row r="616" spans="16:16" x14ac:dyDescent="0.3">
      <c r="P616" s="3">
        <v>8</v>
      </c>
    </row>
    <row r="617" spans="16:16" x14ac:dyDescent="0.3">
      <c r="P617" s="4">
        <v>8</v>
      </c>
    </row>
    <row r="618" spans="16:16" x14ac:dyDescent="0.3">
      <c r="P618" s="3">
        <v>8</v>
      </c>
    </row>
    <row r="619" spans="16:16" x14ac:dyDescent="0.3">
      <c r="P619" s="4">
        <v>8</v>
      </c>
    </row>
    <row r="620" spans="16:16" x14ac:dyDescent="0.3">
      <c r="P620" s="3">
        <v>8</v>
      </c>
    </row>
    <row r="621" spans="16:16" x14ac:dyDescent="0.3">
      <c r="P621" s="4">
        <v>8</v>
      </c>
    </row>
    <row r="622" spans="16:16" x14ac:dyDescent="0.3">
      <c r="P622" s="3">
        <v>8</v>
      </c>
    </row>
    <row r="623" spans="16:16" x14ac:dyDescent="0.3">
      <c r="P623" s="4">
        <v>8</v>
      </c>
    </row>
    <row r="624" spans="16:16" x14ac:dyDescent="0.3">
      <c r="P624" s="3">
        <v>8</v>
      </c>
    </row>
    <row r="625" spans="16:16" x14ac:dyDescent="0.3">
      <c r="P625" s="4">
        <v>8</v>
      </c>
    </row>
    <row r="626" spans="16:16" x14ac:dyDescent="0.3">
      <c r="P626" s="3">
        <v>8</v>
      </c>
    </row>
    <row r="627" spans="16:16" x14ac:dyDescent="0.3">
      <c r="P627" s="4">
        <v>8</v>
      </c>
    </row>
    <row r="628" spans="16:16" x14ac:dyDescent="0.3">
      <c r="P628" s="3">
        <v>8</v>
      </c>
    </row>
    <row r="629" spans="16:16" x14ac:dyDescent="0.3">
      <c r="P629" s="4">
        <v>8</v>
      </c>
    </row>
    <row r="630" spans="16:16" x14ac:dyDescent="0.3">
      <c r="P630" s="3">
        <v>8</v>
      </c>
    </row>
    <row r="631" spans="16:16" x14ac:dyDescent="0.3">
      <c r="P631" s="4">
        <v>8</v>
      </c>
    </row>
    <row r="632" spans="16:16" x14ac:dyDescent="0.3">
      <c r="P632" s="3">
        <v>8</v>
      </c>
    </row>
    <row r="633" spans="16:16" x14ac:dyDescent="0.3">
      <c r="P633" s="4">
        <v>8</v>
      </c>
    </row>
    <row r="634" spans="16:16" x14ac:dyDescent="0.3">
      <c r="P634" s="3">
        <v>8</v>
      </c>
    </row>
    <row r="635" spans="16:16" x14ac:dyDescent="0.3">
      <c r="P635" s="4">
        <v>8</v>
      </c>
    </row>
    <row r="636" spans="16:16" x14ac:dyDescent="0.3">
      <c r="P636" s="3">
        <v>8</v>
      </c>
    </row>
    <row r="637" spans="16:16" x14ac:dyDescent="0.3">
      <c r="P637" s="4">
        <v>8</v>
      </c>
    </row>
    <row r="638" spans="16:16" x14ac:dyDescent="0.3">
      <c r="P638" s="3">
        <v>8</v>
      </c>
    </row>
    <row r="639" spans="16:16" x14ac:dyDescent="0.3">
      <c r="P639" s="4">
        <v>8</v>
      </c>
    </row>
    <row r="640" spans="16:16" x14ac:dyDescent="0.3">
      <c r="P640" s="3">
        <v>8</v>
      </c>
    </row>
    <row r="641" spans="16:16" x14ac:dyDescent="0.3">
      <c r="P641" s="4">
        <v>8</v>
      </c>
    </row>
    <row r="642" spans="16:16" x14ac:dyDescent="0.3">
      <c r="P642" s="3">
        <v>8</v>
      </c>
    </row>
    <row r="643" spans="16:16" x14ac:dyDescent="0.3">
      <c r="P643" s="4">
        <v>8</v>
      </c>
    </row>
    <row r="644" spans="16:16" x14ac:dyDescent="0.3">
      <c r="P644" s="3">
        <v>8</v>
      </c>
    </row>
    <row r="645" spans="16:16" x14ac:dyDescent="0.3">
      <c r="P645" s="4">
        <v>8</v>
      </c>
    </row>
    <row r="646" spans="16:16" x14ac:dyDescent="0.3">
      <c r="P646" s="3">
        <v>8</v>
      </c>
    </row>
    <row r="647" spans="16:16" x14ac:dyDescent="0.3">
      <c r="P647" s="4">
        <v>8</v>
      </c>
    </row>
    <row r="648" spans="16:16" x14ac:dyDescent="0.3">
      <c r="P648" s="3">
        <v>8</v>
      </c>
    </row>
    <row r="649" spans="16:16" x14ac:dyDescent="0.3">
      <c r="P649" s="4">
        <v>8</v>
      </c>
    </row>
    <row r="650" spans="16:16" x14ac:dyDescent="0.3">
      <c r="P650" s="3">
        <v>8</v>
      </c>
    </row>
    <row r="651" spans="16:16" x14ac:dyDescent="0.3">
      <c r="P651" s="4">
        <v>8</v>
      </c>
    </row>
    <row r="652" spans="16:16" x14ac:dyDescent="0.3">
      <c r="P652" s="3">
        <v>8</v>
      </c>
    </row>
    <row r="653" spans="16:16" x14ac:dyDescent="0.3">
      <c r="P653" s="4">
        <v>8</v>
      </c>
    </row>
    <row r="654" spans="16:16" x14ac:dyDescent="0.3">
      <c r="P654" s="3">
        <v>8</v>
      </c>
    </row>
    <row r="655" spans="16:16" x14ac:dyDescent="0.3">
      <c r="P655" s="4">
        <v>8</v>
      </c>
    </row>
    <row r="656" spans="16:16" x14ac:dyDescent="0.3">
      <c r="P656" s="3">
        <v>8</v>
      </c>
    </row>
    <row r="657" spans="16:16" x14ac:dyDescent="0.3">
      <c r="P657" s="4">
        <v>8</v>
      </c>
    </row>
    <row r="658" spans="16:16" x14ac:dyDescent="0.3">
      <c r="P658" s="3">
        <v>8</v>
      </c>
    </row>
    <row r="659" spans="16:16" x14ac:dyDescent="0.3">
      <c r="P659" s="4">
        <v>8</v>
      </c>
    </row>
    <row r="660" spans="16:16" x14ac:dyDescent="0.3">
      <c r="P660" s="3">
        <v>8</v>
      </c>
    </row>
    <row r="661" spans="16:16" x14ac:dyDescent="0.3">
      <c r="P661" s="4">
        <v>8</v>
      </c>
    </row>
    <row r="662" spans="16:16" x14ac:dyDescent="0.3">
      <c r="P662" s="3">
        <v>8</v>
      </c>
    </row>
    <row r="663" spans="16:16" x14ac:dyDescent="0.3">
      <c r="P663" s="4">
        <v>8</v>
      </c>
    </row>
    <row r="664" spans="16:16" x14ac:dyDescent="0.3">
      <c r="P664" s="3">
        <v>8</v>
      </c>
    </row>
    <row r="665" spans="16:16" x14ac:dyDescent="0.3">
      <c r="P665" s="4">
        <v>8</v>
      </c>
    </row>
    <row r="666" spans="16:16" x14ac:dyDescent="0.3">
      <c r="P666" s="3">
        <v>8</v>
      </c>
    </row>
    <row r="667" spans="16:16" x14ac:dyDescent="0.3">
      <c r="P667" s="4">
        <v>8</v>
      </c>
    </row>
    <row r="668" spans="16:16" x14ac:dyDescent="0.3">
      <c r="P668" s="3">
        <v>8</v>
      </c>
    </row>
    <row r="669" spans="16:16" x14ac:dyDescent="0.3">
      <c r="P669" s="4">
        <v>8</v>
      </c>
    </row>
    <row r="670" spans="16:16" x14ac:dyDescent="0.3">
      <c r="P670" s="3">
        <v>8</v>
      </c>
    </row>
    <row r="671" spans="16:16" x14ac:dyDescent="0.3">
      <c r="P671" s="4">
        <v>8</v>
      </c>
    </row>
    <row r="672" spans="16:16" x14ac:dyDescent="0.3">
      <c r="P672" s="3">
        <v>8</v>
      </c>
    </row>
    <row r="673" spans="16:16" x14ac:dyDescent="0.3">
      <c r="P673" s="4">
        <v>9</v>
      </c>
    </row>
    <row r="674" spans="16:16" x14ac:dyDescent="0.3">
      <c r="P674" s="3">
        <v>9</v>
      </c>
    </row>
    <row r="675" spans="16:16" x14ac:dyDescent="0.3">
      <c r="P675" s="4">
        <v>9</v>
      </c>
    </row>
    <row r="676" spans="16:16" x14ac:dyDescent="0.3">
      <c r="P676" s="3">
        <v>9</v>
      </c>
    </row>
    <row r="677" spans="16:16" x14ac:dyDescent="0.3">
      <c r="P677" s="4">
        <v>9</v>
      </c>
    </row>
    <row r="678" spans="16:16" x14ac:dyDescent="0.3">
      <c r="P678" s="3">
        <v>9</v>
      </c>
    </row>
    <row r="679" spans="16:16" x14ac:dyDescent="0.3">
      <c r="P679" s="4">
        <v>9</v>
      </c>
    </row>
    <row r="680" spans="16:16" x14ac:dyDescent="0.3">
      <c r="P680" s="3">
        <v>9</v>
      </c>
    </row>
    <row r="681" spans="16:16" x14ac:dyDescent="0.3">
      <c r="P681" s="4">
        <v>9</v>
      </c>
    </row>
    <row r="682" spans="16:16" x14ac:dyDescent="0.3">
      <c r="P682" s="3">
        <v>9</v>
      </c>
    </row>
    <row r="683" spans="16:16" x14ac:dyDescent="0.3">
      <c r="P683" s="4">
        <v>9</v>
      </c>
    </row>
    <row r="684" spans="16:16" x14ac:dyDescent="0.3">
      <c r="P684" s="3">
        <v>9</v>
      </c>
    </row>
    <row r="685" spans="16:16" x14ac:dyDescent="0.3">
      <c r="P685" s="4">
        <v>9</v>
      </c>
    </row>
    <row r="686" spans="16:16" x14ac:dyDescent="0.3">
      <c r="P686" s="3">
        <v>9</v>
      </c>
    </row>
    <row r="687" spans="16:16" x14ac:dyDescent="0.3">
      <c r="P687" s="4">
        <v>9</v>
      </c>
    </row>
    <row r="688" spans="16:16" x14ac:dyDescent="0.3">
      <c r="P688" s="3">
        <v>9</v>
      </c>
    </row>
    <row r="689" spans="16:16" x14ac:dyDescent="0.3">
      <c r="P689" s="4">
        <v>9</v>
      </c>
    </row>
    <row r="690" spans="16:16" x14ac:dyDescent="0.3">
      <c r="P690" s="3">
        <v>9</v>
      </c>
    </row>
    <row r="691" spans="16:16" x14ac:dyDescent="0.3">
      <c r="P691" s="4">
        <v>9</v>
      </c>
    </row>
    <row r="692" spans="16:16" x14ac:dyDescent="0.3">
      <c r="P692" s="3">
        <v>9</v>
      </c>
    </row>
    <row r="693" spans="16:16" x14ac:dyDescent="0.3">
      <c r="P693" s="4">
        <v>9</v>
      </c>
    </row>
    <row r="694" spans="16:16" x14ac:dyDescent="0.3">
      <c r="P694" s="3">
        <v>9</v>
      </c>
    </row>
    <row r="695" spans="16:16" x14ac:dyDescent="0.3">
      <c r="P695" s="4">
        <v>9</v>
      </c>
    </row>
    <row r="696" spans="16:16" x14ac:dyDescent="0.3">
      <c r="P696" s="3">
        <v>9</v>
      </c>
    </row>
    <row r="697" spans="16:16" x14ac:dyDescent="0.3">
      <c r="P697" s="4">
        <v>9</v>
      </c>
    </row>
    <row r="698" spans="16:16" x14ac:dyDescent="0.3">
      <c r="P698" s="3">
        <v>9</v>
      </c>
    </row>
    <row r="699" spans="16:16" x14ac:dyDescent="0.3">
      <c r="P699" s="4">
        <v>9</v>
      </c>
    </row>
    <row r="700" spans="16:16" x14ac:dyDescent="0.3">
      <c r="P700" s="3">
        <v>9</v>
      </c>
    </row>
    <row r="701" spans="16:16" x14ac:dyDescent="0.3">
      <c r="P701" s="4">
        <v>9</v>
      </c>
    </row>
    <row r="702" spans="16:16" x14ac:dyDescent="0.3">
      <c r="P702" s="3">
        <v>9</v>
      </c>
    </row>
    <row r="703" spans="16:16" x14ac:dyDescent="0.3">
      <c r="P703" s="4">
        <v>9</v>
      </c>
    </row>
    <row r="704" spans="16:16" x14ac:dyDescent="0.3">
      <c r="P704" s="3">
        <v>9</v>
      </c>
    </row>
    <row r="705" spans="16:16" x14ac:dyDescent="0.3">
      <c r="P705" s="4">
        <v>9</v>
      </c>
    </row>
    <row r="706" spans="16:16" x14ac:dyDescent="0.3">
      <c r="P706" s="3">
        <v>9</v>
      </c>
    </row>
    <row r="707" spans="16:16" x14ac:dyDescent="0.3">
      <c r="P707" s="4">
        <v>9</v>
      </c>
    </row>
    <row r="708" spans="16:16" x14ac:dyDescent="0.3">
      <c r="P708" s="3">
        <v>9</v>
      </c>
    </row>
    <row r="709" spans="16:16" x14ac:dyDescent="0.3">
      <c r="P709" s="4">
        <v>9</v>
      </c>
    </row>
    <row r="710" spans="16:16" x14ac:dyDescent="0.3">
      <c r="P710" s="3">
        <v>9</v>
      </c>
    </row>
    <row r="711" spans="16:16" x14ac:dyDescent="0.3">
      <c r="P711" s="4">
        <v>9</v>
      </c>
    </row>
    <row r="712" spans="16:16" x14ac:dyDescent="0.3">
      <c r="P712" s="3">
        <v>9</v>
      </c>
    </row>
    <row r="713" spans="16:16" x14ac:dyDescent="0.3">
      <c r="P713" s="4">
        <v>9</v>
      </c>
    </row>
    <row r="714" spans="16:16" x14ac:dyDescent="0.3">
      <c r="P714" s="3">
        <v>9</v>
      </c>
    </row>
    <row r="715" spans="16:16" x14ac:dyDescent="0.3">
      <c r="P715" s="4">
        <v>9</v>
      </c>
    </row>
    <row r="716" spans="16:16" x14ac:dyDescent="0.3">
      <c r="P716" s="3">
        <v>9</v>
      </c>
    </row>
    <row r="717" spans="16:16" x14ac:dyDescent="0.3">
      <c r="P717" s="4">
        <v>9</v>
      </c>
    </row>
    <row r="718" spans="16:16" x14ac:dyDescent="0.3">
      <c r="P718" s="3">
        <v>9</v>
      </c>
    </row>
    <row r="719" spans="16:16" x14ac:dyDescent="0.3">
      <c r="P719" s="4">
        <v>9</v>
      </c>
    </row>
    <row r="720" spans="16:16" x14ac:dyDescent="0.3">
      <c r="P720" s="3">
        <v>9</v>
      </c>
    </row>
    <row r="721" spans="16:16" x14ac:dyDescent="0.3">
      <c r="P721" s="4">
        <v>9</v>
      </c>
    </row>
    <row r="722" spans="16:16" x14ac:dyDescent="0.3">
      <c r="P722" s="3">
        <v>9</v>
      </c>
    </row>
    <row r="723" spans="16:16" x14ac:dyDescent="0.3">
      <c r="P723" s="4">
        <v>9</v>
      </c>
    </row>
    <row r="724" spans="16:16" x14ac:dyDescent="0.3">
      <c r="P724" s="3">
        <v>9</v>
      </c>
    </row>
    <row r="725" spans="16:16" x14ac:dyDescent="0.3">
      <c r="P725" s="4">
        <v>9</v>
      </c>
    </row>
    <row r="726" spans="16:16" x14ac:dyDescent="0.3">
      <c r="P726" s="3">
        <v>9</v>
      </c>
    </row>
    <row r="727" spans="16:16" x14ac:dyDescent="0.3">
      <c r="P727" s="4">
        <v>9</v>
      </c>
    </row>
    <row r="728" spans="16:16" x14ac:dyDescent="0.3">
      <c r="P728" s="3">
        <v>9</v>
      </c>
    </row>
    <row r="729" spans="16:16" x14ac:dyDescent="0.3">
      <c r="P729" s="4">
        <v>9</v>
      </c>
    </row>
    <row r="730" spans="16:16" x14ac:dyDescent="0.3">
      <c r="P730" s="3">
        <v>9</v>
      </c>
    </row>
    <row r="731" spans="16:16" x14ac:dyDescent="0.3">
      <c r="P731" s="4">
        <v>9</v>
      </c>
    </row>
    <row r="732" spans="16:16" x14ac:dyDescent="0.3">
      <c r="P732" s="3">
        <v>9</v>
      </c>
    </row>
    <row r="733" spans="16:16" x14ac:dyDescent="0.3">
      <c r="P733" s="4">
        <v>10</v>
      </c>
    </row>
    <row r="734" spans="16:16" x14ac:dyDescent="0.3">
      <c r="P734" s="3">
        <v>10</v>
      </c>
    </row>
    <row r="735" spans="16:16" x14ac:dyDescent="0.3">
      <c r="P735" s="4">
        <v>10</v>
      </c>
    </row>
    <row r="736" spans="16:16" x14ac:dyDescent="0.3">
      <c r="P736" s="3">
        <v>10</v>
      </c>
    </row>
    <row r="737" spans="16:16" x14ac:dyDescent="0.3">
      <c r="P737" s="4">
        <v>10</v>
      </c>
    </row>
    <row r="738" spans="16:16" x14ac:dyDescent="0.3">
      <c r="P738" s="3">
        <v>10</v>
      </c>
    </row>
    <row r="739" spans="16:16" x14ac:dyDescent="0.3">
      <c r="P739" s="4">
        <v>10</v>
      </c>
    </row>
    <row r="740" spans="16:16" x14ac:dyDescent="0.3">
      <c r="P740" s="3">
        <v>10</v>
      </c>
    </row>
    <row r="741" spans="16:16" x14ac:dyDescent="0.3">
      <c r="P741" s="4">
        <v>10</v>
      </c>
    </row>
    <row r="742" spans="16:16" x14ac:dyDescent="0.3">
      <c r="P742" s="3">
        <v>10</v>
      </c>
    </row>
    <row r="743" spans="16:16" x14ac:dyDescent="0.3">
      <c r="P743" s="4">
        <v>10</v>
      </c>
    </row>
    <row r="744" spans="16:16" x14ac:dyDescent="0.3">
      <c r="P744" s="3">
        <v>10</v>
      </c>
    </row>
    <row r="745" spans="16:16" x14ac:dyDescent="0.3">
      <c r="P745" s="4">
        <v>10</v>
      </c>
    </row>
    <row r="746" spans="16:16" x14ac:dyDescent="0.3">
      <c r="P746" s="3">
        <v>10</v>
      </c>
    </row>
    <row r="747" spans="16:16" x14ac:dyDescent="0.3">
      <c r="P747" s="4">
        <v>10</v>
      </c>
    </row>
    <row r="748" spans="16:16" x14ac:dyDescent="0.3">
      <c r="P748" s="3">
        <v>10</v>
      </c>
    </row>
    <row r="749" spans="16:16" x14ac:dyDescent="0.3">
      <c r="P749" s="4">
        <v>10</v>
      </c>
    </row>
    <row r="750" spans="16:16" x14ac:dyDescent="0.3">
      <c r="P750" s="3">
        <v>10</v>
      </c>
    </row>
    <row r="751" spans="16:16" x14ac:dyDescent="0.3">
      <c r="P751" s="4">
        <v>10</v>
      </c>
    </row>
    <row r="752" spans="16:16" x14ac:dyDescent="0.3">
      <c r="P752" s="3">
        <v>10</v>
      </c>
    </row>
    <row r="753" spans="16:16" x14ac:dyDescent="0.3">
      <c r="P753" s="4">
        <v>10</v>
      </c>
    </row>
    <row r="754" spans="16:16" x14ac:dyDescent="0.3">
      <c r="P754" s="3">
        <v>10</v>
      </c>
    </row>
    <row r="755" spans="16:16" x14ac:dyDescent="0.3">
      <c r="P755" s="4">
        <v>10</v>
      </c>
    </row>
    <row r="756" spans="16:16" x14ac:dyDescent="0.3">
      <c r="P756" s="3">
        <v>10</v>
      </c>
    </row>
    <row r="757" spans="16:16" x14ac:dyDescent="0.3">
      <c r="P757" s="4">
        <v>10</v>
      </c>
    </row>
    <row r="758" spans="16:16" x14ac:dyDescent="0.3">
      <c r="P758" s="3">
        <v>10</v>
      </c>
    </row>
    <row r="759" spans="16:16" x14ac:dyDescent="0.3">
      <c r="P759" s="4">
        <v>10</v>
      </c>
    </row>
    <row r="760" spans="16:16" x14ac:dyDescent="0.3">
      <c r="P760" s="3">
        <v>10</v>
      </c>
    </row>
    <row r="761" spans="16:16" x14ac:dyDescent="0.3">
      <c r="P761" s="4">
        <v>10</v>
      </c>
    </row>
    <row r="762" spans="16:16" x14ac:dyDescent="0.3">
      <c r="P762" s="3">
        <v>10</v>
      </c>
    </row>
    <row r="763" spans="16:16" x14ac:dyDescent="0.3">
      <c r="P763" s="4">
        <v>10</v>
      </c>
    </row>
    <row r="764" spans="16:16" x14ac:dyDescent="0.3">
      <c r="P764" s="3">
        <v>10</v>
      </c>
    </row>
    <row r="765" spans="16:16" x14ac:dyDescent="0.3">
      <c r="P765" s="4">
        <v>10</v>
      </c>
    </row>
    <row r="766" spans="16:16" x14ac:dyDescent="0.3">
      <c r="P766" s="3">
        <v>10</v>
      </c>
    </row>
    <row r="767" spans="16:16" x14ac:dyDescent="0.3">
      <c r="P767" s="4">
        <v>10</v>
      </c>
    </row>
    <row r="768" spans="16:16" x14ac:dyDescent="0.3">
      <c r="P768" s="3">
        <v>10</v>
      </c>
    </row>
    <row r="769" spans="16:16" x14ac:dyDescent="0.3">
      <c r="P769" s="4">
        <v>10</v>
      </c>
    </row>
    <row r="770" spans="16:16" x14ac:dyDescent="0.3">
      <c r="P770" s="3">
        <v>10</v>
      </c>
    </row>
    <row r="771" spans="16:16" x14ac:dyDescent="0.3">
      <c r="P771" s="4">
        <v>10</v>
      </c>
    </row>
    <row r="772" spans="16:16" x14ac:dyDescent="0.3">
      <c r="P772" s="3">
        <v>10</v>
      </c>
    </row>
    <row r="773" spans="16:16" x14ac:dyDescent="0.3">
      <c r="P773" s="4">
        <v>10</v>
      </c>
    </row>
    <row r="774" spans="16:16" x14ac:dyDescent="0.3">
      <c r="P774" s="3">
        <v>10</v>
      </c>
    </row>
    <row r="775" spans="16:16" x14ac:dyDescent="0.3">
      <c r="P775" s="4">
        <v>10</v>
      </c>
    </row>
    <row r="776" spans="16:16" x14ac:dyDescent="0.3">
      <c r="P776" s="3">
        <v>10</v>
      </c>
    </row>
    <row r="777" spans="16:16" x14ac:dyDescent="0.3">
      <c r="P777" s="4">
        <v>10</v>
      </c>
    </row>
    <row r="778" spans="16:16" x14ac:dyDescent="0.3">
      <c r="P778" s="3">
        <v>10</v>
      </c>
    </row>
    <row r="779" spans="16:16" x14ac:dyDescent="0.3">
      <c r="P779" s="4">
        <v>10</v>
      </c>
    </row>
    <row r="780" spans="16:16" x14ac:dyDescent="0.3">
      <c r="P780" s="3">
        <v>10</v>
      </c>
    </row>
    <row r="781" spans="16:16" x14ac:dyDescent="0.3">
      <c r="P781" s="4">
        <v>10</v>
      </c>
    </row>
    <row r="782" spans="16:16" x14ac:dyDescent="0.3">
      <c r="P782" s="3">
        <v>10</v>
      </c>
    </row>
    <row r="783" spans="16:16" x14ac:dyDescent="0.3">
      <c r="P783" s="4">
        <v>10</v>
      </c>
    </row>
    <row r="784" spans="16:16" x14ac:dyDescent="0.3">
      <c r="P784" s="3">
        <v>10</v>
      </c>
    </row>
    <row r="785" spans="16:16" x14ac:dyDescent="0.3">
      <c r="P785" s="4">
        <v>10</v>
      </c>
    </row>
    <row r="786" spans="16:16" x14ac:dyDescent="0.3">
      <c r="P786" s="3">
        <v>10</v>
      </c>
    </row>
    <row r="787" spans="16:16" x14ac:dyDescent="0.3">
      <c r="P787" s="4">
        <v>10</v>
      </c>
    </row>
    <row r="788" spans="16:16" x14ac:dyDescent="0.3">
      <c r="P788" s="3">
        <v>10</v>
      </c>
    </row>
    <row r="789" spans="16:16" x14ac:dyDescent="0.3">
      <c r="P789" s="4">
        <v>10</v>
      </c>
    </row>
    <row r="790" spans="16:16" x14ac:dyDescent="0.3">
      <c r="P790" s="3">
        <v>10</v>
      </c>
    </row>
    <row r="791" spans="16:16" x14ac:dyDescent="0.3">
      <c r="P791" s="4">
        <v>10</v>
      </c>
    </row>
    <row r="792" spans="16:16" x14ac:dyDescent="0.3">
      <c r="P792" s="3">
        <v>10</v>
      </c>
    </row>
    <row r="793" spans="16:16" x14ac:dyDescent="0.3">
      <c r="P793" s="4">
        <v>10</v>
      </c>
    </row>
    <row r="794" spans="16:16" x14ac:dyDescent="0.3">
      <c r="P794" s="3">
        <v>10</v>
      </c>
    </row>
    <row r="795" spans="16:16" x14ac:dyDescent="0.3">
      <c r="P795" s="4">
        <v>10</v>
      </c>
    </row>
    <row r="796" spans="16:16" x14ac:dyDescent="0.3">
      <c r="P796" s="3">
        <v>10</v>
      </c>
    </row>
    <row r="797" spans="16:16" x14ac:dyDescent="0.3">
      <c r="P797" s="4">
        <v>10</v>
      </c>
    </row>
    <row r="798" spans="16:16" x14ac:dyDescent="0.3">
      <c r="P798" s="3">
        <v>10</v>
      </c>
    </row>
    <row r="799" spans="16:16" x14ac:dyDescent="0.3">
      <c r="P799" s="4">
        <v>10</v>
      </c>
    </row>
    <row r="800" spans="16:16" x14ac:dyDescent="0.3">
      <c r="P800" s="3">
        <v>10</v>
      </c>
    </row>
    <row r="801" spans="16:16" x14ac:dyDescent="0.3">
      <c r="P801" s="4">
        <v>10</v>
      </c>
    </row>
    <row r="802" spans="16:16" x14ac:dyDescent="0.3">
      <c r="P802" s="3">
        <v>10</v>
      </c>
    </row>
    <row r="803" spans="16:16" x14ac:dyDescent="0.3">
      <c r="P803" s="4">
        <v>10</v>
      </c>
    </row>
    <row r="804" spans="16:16" x14ac:dyDescent="0.3">
      <c r="P804" s="3">
        <v>10</v>
      </c>
    </row>
    <row r="805" spans="16:16" x14ac:dyDescent="0.3">
      <c r="P805" s="4">
        <v>10</v>
      </c>
    </row>
    <row r="806" spans="16:16" x14ac:dyDescent="0.3">
      <c r="P806" s="3">
        <v>10</v>
      </c>
    </row>
    <row r="807" spans="16:16" x14ac:dyDescent="0.3">
      <c r="P807" s="4">
        <v>10</v>
      </c>
    </row>
    <row r="808" spans="16:16" x14ac:dyDescent="0.3">
      <c r="P808" s="3">
        <v>10</v>
      </c>
    </row>
    <row r="809" spans="16:16" x14ac:dyDescent="0.3">
      <c r="P809" s="4">
        <v>10</v>
      </c>
    </row>
    <row r="810" spans="16:16" x14ac:dyDescent="0.3">
      <c r="P810" s="3">
        <v>10</v>
      </c>
    </row>
    <row r="811" spans="16:16" x14ac:dyDescent="0.3">
      <c r="P811" s="4">
        <v>10</v>
      </c>
    </row>
    <row r="812" spans="16:16" x14ac:dyDescent="0.3">
      <c r="P812" s="3">
        <v>10</v>
      </c>
    </row>
    <row r="813" spans="16:16" x14ac:dyDescent="0.3">
      <c r="P813" s="4">
        <v>10</v>
      </c>
    </row>
    <row r="814" spans="16:16" x14ac:dyDescent="0.3">
      <c r="P814" s="3">
        <v>10</v>
      </c>
    </row>
    <row r="815" spans="16:16" x14ac:dyDescent="0.3">
      <c r="P815" s="4">
        <v>10</v>
      </c>
    </row>
    <row r="816" spans="16:16" x14ac:dyDescent="0.3">
      <c r="P816" s="3">
        <v>10</v>
      </c>
    </row>
    <row r="817" spans="16:16" x14ac:dyDescent="0.3">
      <c r="P817" s="4">
        <v>10</v>
      </c>
    </row>
    <row r="818" spans="16:16" x14ac:dyDescent="0.3">
      <c r="P818" s="3">
        <v>10</v>
      </c>
    </row>
    <row r="819" spans="16:16" x14ac:dyDescent="0.3">
      <c r="P819" s="4">
        <v>10</v>
      </c>
    </row>
    <row r="820" spans="16:16" x14ac:dyDescent="0.3">
      <c r="P820" s="3">
        <v>10</v>
      </c>
    </row>
    <row r="821" spans="16:16" x14ac:dyDescent="0.3">
      <c r="P821" s="4">
        <v>10</v>
      </c>
    </row>
    <row r="822" spans="16:16" x14ac:dyDescent="0.3">
      <c r="P822" s="3">
        <v>10</v>
      </c>
    </row>
    <row r="823" spans="16:16" x14ac:dyDescent="0.3">
      <c r="P823" s="4">
        <v>10</v>
      </c>
    </row>
    <row r="824" spans="16:16" x14ac:dyDescent="0.3">
      <c r="P824" s="3">
        <v>10</v>
      </c>
    </row>
    <row r="825" spans="16:16" x14ac:dyDescent="0.3">
      <c r="P825" s="4">
        <v>10</v>
      </c>
    </row>
    <row r="826" spans="16:16" x14ac:dyDescent="0.3">
      <c r="P826" s="3">
        <v>10</v>
      </c>
    </row>
    <row r="827" spans="16:16" x14ac:dyDescent="0.3">
      <c r="P827" s="4">
        <v>10</v>
      </c>
    </row>
    <row r="828" spans="16:16" x14ac:dyDescent="0.3">
      <c r="P828" s="3">
        <v>10</v>
      </c>
    </row>
    <row r="829" spans="16:16" x14ac:dyDescent="0.3">
      <c r="P829" s="4">
        <v>10</v>
      </c>
    </row>
    <row r="830" spans="16:16" x14ac:dyDescent="0.3">
      <c r="P830" s="3">
        <v>10</v>
      </c>
    </row>
    <row r="831" spans="16:16" x14ac:dyDescent="0.3">
      <c r="P831" s="4">
        <v>10</v>
      </c>
    </row>
    <row r="832" spans="16:16" x14ac:dyDescent="0.3">
      <c r="P832" s="3">
        <v>10</v>
      </c>
    </row>
    <row r="833" spans="16:16" x14ac:dyDescent="0.3">
      <c r="P833" s="4">
        <v>10</v>
      </c>
    </row>
    <row r="834" spans="16:16" x14ac:dyDescent="0.3">
      <c r="P834" s="3">
        <v>10</v>
      </c>
    </row>
    <row r="835" spans="16:16" x14ac:dyDescent="0.3">
      <c r="P835" s="4">
        <v>10</v>
      </c>
    </row>
    <row r="836" spans="16:16" x14ac:dyDescent="0.3">
      <c r="P836" s="3">
        <v>10</v>
      </c>
    </row>
    <row r="837" spans="16:16" x14ac:dyDescent="0.3">
      <c r="P837" s="4">
        <v>10</v>
      </c>
    </row>
    <row r="838" spans="16:16" x14ac:dyDescent="0.3">
      <c r="P838" s="3">
        <v>10</v>
      </c>
    </row>
    <row r="839" spans="16:16" x14ac:dyDescent="0.3">
      <c r="P839" s="4">
        <v>10</v>
      </c>
    </row>
    <row r="840" spans="16:16" x14ac:dyDescent="0.3">
      <c r="P840" s="3">
        <v>10</v>
      </c>
    </row>
    <row r="841" spans="16:16" x14ac:dyDescent="0.3">
      <c r="P841" s="4">
        <v>10</v>
      </c>
    </row>
    <row r="842" spans="16:16" x14ac:dyDescent="0.3">
      <c r="P842" s="3">
        <v>10</v>
      </c>
    </row>
    <row r="843" spans="16:16" x14ac:dyDescent="0.3">
      <c r="P843" s="4">
        <v>10</v>
      </c>
    </row>
    <row r="844" spans="16:16" x14ac:dyDescent="0.3">
      <c r="P844" s="3">
        <v>10</v>
      </c>
    </row>
    <row r="845" spans="16:16" x14ac:dyDescent="0.3">
      <c r="P845" s="4">
        <v>10</v>
      </c>
    </row>
    <row r="846" spans="16:16" x14ac:dyDescent="0.3">
      <c r="P846" s="3">
        <v>10</v>
      </c>
    </row>
    <row r="847" spans="16:16" x14ac:dyDescent="0.3">
      <c r="P847" s="4">
        <v>10</v>
      </c>
    </row>
    <row r="848" spans="16:16" x14ac:dyDescent="0.3">
      <c r="P848" s="3">
        <v>10</v>
      </c>
    </row>
    <row r="849" spans="16:16" x14ac:dyDescent="0.3">
      <c r="P849" s="4">
        <v>10</v>
      </c>
    </row>
    <row r="850" spans="16:16" x14ac:dyDescent="0.3">
      <c r="P850" s="3">
        <v>10</v>
      </c>
    </row>
    <row r="851" spans="16:16" x14ac:dyDescent="0.3">
      <c r="P851" s="4">
        <v>10</v>
      </c>
    </row>
    <row r="852" spans="16:16" x14ac:dyDescent="0.3">
      <c r="P852" s="3">
        <v>10</v>
      </c>
    </row>
    <row r="853" spans="16:16" x14ac:dyDescent="0.3">
      <c r="P853" s="4">
        <v>10</v>
      </c>
    </row>
    <row r="854" spans="16:16" x14ac:dyDescent="0.3">
      <c r="P854" s="3">
        <v>10</v>
      </c>
    </row>
    <row r="855" spans="16:16" x14ac:dyDescent="0.3">
      <c r="P855" s="4">
        <v>10</v>
      </c>
    </row>
    <row r="856" spans="16:16" x14ac:dyDescent="0.3">
      <c r="P856" s="3">
        <v>10</v>
      </c>
    </row>
    <row r="857" spans="16:16" x14ac:dyDescent="0.3">
      <c r="P857" s="4">
        <v>10</v>
      </c>
    </row>
    <row r="858" spans="16:16" x14ac:dyDescent="0.3">
      <c r="P858" s="3">
        <v>10</v>
      </c>
    </row>
    <row r="859" spans="16:16" x14ac:dyDescent="0.3">
      <c r="P859" s="4">
        <v>10</v>
      </c>
    </row>
    <row r="860" spans="16:16" x14ac:dyDescent="0.3">
      <c r="P860" s="3">
        <v>10</v>
      </c>
    </row>
    <row r="861" spans="16:16" x14ac:dyDescent="0.3">
      <c r="P861" s="4">
        <v>10</v>
      </c>
    </row>
    <row r="862" spans="16:16" x14ac:dyDescent="0.3">
      <c r="P862" s="3">
        <v>10</v>
      </c>
    </row>
    <row r="863" spans="16:16" x14ac:dyDescent="0.3">
      <c r="P863" s="4">
        <v>10</v>
      </c>
    </row>
    <row r="864" spans="16:16" x14ac:dyDescent="0.3">
      <c r="P864" s="3">
        <v>10</v>
      </c>
    </row>
    <row r="865" spans="16:16" x14ac:dyDescent="0.3">
      <c r="P865" s="4">
        <v>10</v>
      </c>
    </row>
    <row r="866" spans="16:16" x14ac:dyDescent="0.3">
      <c r="P866" s="3">
        <v>10</v>
      </c>
    </row>
    <row r="867" spans="16:16" x14ac:dyDescent="0.3">
      <c r="P867" s="4">
        <v>10</v>
      </c>
    </row>
    <row r="868" spans="16:16" x14ac:dyDescent="0.3">
      <c r="P868" s="3">
        <v>10</v>
      </c>
    </row>
    <row r="869" spans="16:16" x14ac:dyDescent="0.3">
      <c r="P869" s="4">
        <v>10</v>
      </c>
    </row>
    <row r="870" spans="16:16" x14ac:dyDescent="0.3">
      <c r="P870" s="3">
        <v>10</v>
      </c>
    </row>
    <row r="871" spans="16:16" x14ac:dyDescent="0.3">
      <c r="P871" s="4">
        <v>11</v>
      </c>
    </row>
    <row r="872" spans="16:16" x14ac:dyDescent="0.3">
      <c r="P872" s="3">
        <v>11</v>
      </c>
    </row>
    <row r="873" spans="16:16" x14ac:dyDescent="0.3">
      <c r="P873" s="4">
        <v>11</v>
      </c>
    </row>
    <row r="874" spans="16:16" x14ac:dyDescent="0.3">
      <c r="P874" s="3">
        <v>11</v>
      </c>
    </row>
    <row r="875" spans="16:16" x14ac:dyDescent="0.3">
      <c r="P875" s="4">
        <v>11</v>
      </c>
    </row>
    <row r="876" spans="16:16" x14ac:dyDescent="0.3">
      <c r="P876" s="3">
        <v>11</v>
      </c>
    </row>
    <row r="877" spans="16:16" x14ac:dyDescent="0.3">
      <c r="P877" s="4">
        <v>11</v>
      </c>
    </row>
    <row r="878" spans="16:16" x14ac:dyDescent="0.3">
      <c r="P878" s="3">
        <v>11</v>
      </c>
    </row>
    <row r="879" spans="16:16" x14ac:dyDescent="0.3">
      <c r="P879" s="4">
        <v>11</v>
      </c>
    </row>
    <row r="880" spans="16:16" x14ac:dyDescent="0.3">
      <c r="P880" s="3">
        <v>11</v>
      </c>
    </row>
    <row r="881" spans="16:16" x14ac:dyDescent="0.3">
      <c r="P881" s="4">
        <v>11</v>
      </c>
    </row>
    <row r="882" spans="16:16" x14ac:dyDescent="0.3">
      <c r="P882" s="3">
        <v>11</v>
      </c>
    </row>
    <row r="883" spans="16:16" x14ac:dyDescent="0.3">
      <c r="P883" s="4">
        <v>11</v>
      </c>
    </row>
    <row r="884" spans="16:16" x14ac:dyDescent="0.3">
      <c r="P884" s="3">
        <v>11</v>
      </c>
    </row>
    <row r="885" spans="16:16" x14ac:dyDescent="0.3">
      <c r="P885" s="4">
        <v>11</v>
      </c>
    </row>
    <row r="886" spans="16:16" x14ac:dyDescent="0.3">
      <c r="P886" s="3">
        <v>11</v>
      </c>
    </row>
    <row r="887" spans="16:16" x14ac:dyDescent="0.3">
      <c r="P887" s="4">
        <v>11</v>
      </c>
    </row>
    <row r="888" spans="16:16" x14ac:dyDescent="0.3">
      <c r="P888" s="3">
        <v>11</v>
      </c>
    </row>
    <row r="889" spans="16:16" x14ac:dyDescent="0.3">
      <c r="P889" s="4">
        <v>11</v>
      </c>
    </row>
    <row r="890" spans="16:16" x14ac:dyDescent="0.3">
      <c r="P890" s="3">
        <v>11</v>
      </c>
    </row>
    <row r="891" spans="16:16" x14ac:dyDescent="0.3">
      <c r="P891" s="4">
        <v>11</v>
      </c>
    </row>
    <row r="892" spans="16:16" x14ac:dyDescent="0.3">
      <c r="P892" s="3">
        <v>11</v>
      </c>
    </row>
    <row r="893" spans="16:16" x14ac:dyDescent="0.3">
      <c r="P893" s="4">
        <v>11</v>
      </c>
    </row>
    <row r="894" spans="16:16" x14ac:dyDescent="0.3">
      <c r="P894" s="3">
        <v>11</v>
      </c>
    </row>
    <row r="895" spans="16:16" x14ac:dyDescent="0.3">
      <c r="P895" s="4">
        <v>11</v>
      </c>
    </row>
    <row r="896" spans="16:16" x14ac:dyDescent="0.3">
      <c r="P896" s="3">
        <v>11</v>
      </c>
    </row>
    <row r="897" spans="16:16" x14ac:dyDescent="0.3">
      <c r="P897" s="4">
        <v>11</v>
      </c>
    </row>
    <row r="898" spans="16:16" x14ac:dyDescent="0.3">
      <c r="P898" s="3">
        <v>11</v>
      </c>
    </row>
    <row r="899" spans="16:16" x14ac:dyDescent="0.3">
      <c r="P899" s="4">
        <v>11</v>
      </c>
    </row>
    <row r="900" spans="16:16" x14ac:dyDescent="0.3">
      <c r="P900" s="3">
        <v>11</v>
      </c>
    </row>
    <row r="901" spans="16:16" x14ac:dyDescent="0.3">
      <c r="P901" s="4">
        <v>11</v>
      </c>
    </row>
    <row r="902" spans="16:16" x14ac:dyDescent="0.3">
      <c r="P902" s="3">
        <v>11</v>
      </c>
    </row>
    <row r="903" spans="16:16" x14ac:dyDescent="0.3">
      <c r="P903" s="4">
        <v>11</v>
      </c>
    </row>
    <row r="904" spans="16:16" x14ac:dyDescent="0.3">
      <c r="P904" s="3">
        <v>11</v>
      </c>
    </row>
    <row r="905" spans="16:16" x14ac:dyDescent="0.3">
      <c r="P905" s="4">
        <v>11</v>
      </c>
    </row>
    <row r="906" spans="16:16" x14ac:dyDescent="0.3">
      <c r="P906" s="3">
        <v>11</v>
      </c>
    </row>
    <row r="907" spans="16:16" x14ac:dyDescent="0.3">
      <c r="P907" s="4">
        <v>11</v>
      </c>
    </row>
    <row r="908" spans="16:16" x14ac:dyDescent="0.3">
      <c r="P908" s="3">
        <v>11</v>
      </c>
    </row>
    <row r="909" spans="16:16" x14ac:dyDescent="0.3">
      <c r="P909" s="4">
        <v>11</v>
      </c>
    </row>
    <row r="910" spans="16:16" x14ac:dyDescent="0.3">
      <c r="P910" s="3">
        <v>11</v>
      </c>
    </row>
    <row r="911" spans="16:16" x14ac:dyDescent="0.3">
      <c r="P911" s="4">
        <v>11</v>
      </c>
    </row>
    <row r="912" spans="16:16" x14ac:dyDescent="0.3">
      <c r="P912" s="3">
        <v>11</v>
      </c>
    </row>
    <row r="913" spans="16:16" x14ac:dyDescent="0.3">
      <c r="P913" s="4">
        <v>11</v>
      </c>
    </row>
    <row r="914" spans="16:16" x14ac:dyDescent="0.3">
      <c r="P914" s="3">
        <v>12</v>
      </c>
    </row>
    <row r="915" spans="16:16" x14ac:dyDescent="0.3">
      <c r="P915" s="4">
        <v>12</v>
      </c>
    </row>
    <row r="916" spans="16:16" x14ac:dyDescent="0.3">
      <c r="P916" s="3">
        <v>12</v>
      </c>
    </row>
    <row r="917" spans="16:16" x14ac:dyDescent="0.3">
      <c r="P917" s="4">
        <v>12</v>
      </c>
    </row>
    <row r="918" spans="16:16" x14ac:dyDescent="0.3">
      <c r="P918" s="3">
        <v>12</v>
      </c>
    </row>
    <row r="919" spans="16:16" x14ac:dyDescent="0.3">
      <c r="P919" s="4">
        <v>12</v>
      </c>
    </row>
    <row r="920" spans="16:16" x14ac:dyDescent="0.3">
      <c r="P920" s="3">
        <v>12</v>
      </c>
    </row>
    <row r="921" spans="16:16" x14ac:dyDescent="0.3">
      <c r="P921" s="4">
        <v>12</v>
      </c>
    </row>
    <row r="922" spans="16:16" x14ac:dyDescent="0.3">
      <c r="P922" s="3">
        <v>12</v>
      </c>
    </row>
    <row r="923" spans="16:16" x14ac:dyDescent="0.3">
      <c r="P923" s="4">
        <v>12</v>
      </c>
    </row>
    <row r="924" spans="16:16" x14ac:dyDescent="0.3">
      <c r="P924" s="3">
        <v>12</v>
      </c>
    </row>
    <row r="925" spans="16:16" x14ac:dyDescent="0.3">
      <c r="P925" s="4">
        <v>12</v>
      </c>
    </row>
    <row r="926" spans="16:16" x14ac:dyDescent="0.3">
      <c r="P926" s="3">
        <v>12</v>
      </c>
    </row>
    <row r="927" spans="16:16" x14ac:dyDescent="0.3">
      <c r="P927" s="4">
        <v>12</v>
      </c>
    </row>
    <row r="928" spans="16:16" x14ac:dyDescent="0.3">
      <c r="P928" s="3">
        <v>12</v>
      </c>
    </row>
    <row r="929" spans="16:16" x14ac:dyDescent="0.3">
      <c r="P929" s="4">
        <v>12</v>
      </c>
    </row>
    <row r="930" spans="16:16" x14ac:dyDescent="0.3">
      <c r="P930" s="3">
        <v>12</v>
      </c>
    </row>
    <row r="931" spans="16:16" x14ac:dyDescent="0.3">
      <c r="P931" s="4">
        <v>12</v>
      </c>
    </row>
    <row r="932" spans="16:16" x14ac:dyDescent="0.3">
      <c r="P932" s="3">
        <v>12</v>
      </c>
    </row>
    <row r="933" spans="16:16" x14ac:dyDescent="0.3">
      <c r="P933" s="4">
        <v>12</v>
      </c>
    </row>
    <row r="934" spans="16:16" x14ac:dyDescent="0.3">
      <c r="P934" s="3">
        <v>12</v>
      </c>
    </row>
    <row r="935" spans="16:16" x14ac:dyDescent="0.3">
      <c r="P935" s="4">
        <v>12</v>
      </c>
    </row>
    <row r="936" spans="16:16" x14ac:dyDescent="0.3">
      <c r="P936" s="3">
        <v>12</v>
      </c>
    </row>
    <row r="937" spans="16:16" x14ac:dyDescent="0.3">
      <c r="P937" s="4">
        <v>12</v>
      </c>
    </row>
    <row r="938" spans="16:16" x14ac:dyDescent="0.3">
      <c r="P938" s="3">
        <v>12</v>
      </c>
    </row>
    <row r="939" spans="16:16" x14ac:dyDescent="0.3">
      <c r="P939" s="4">
        <v>12</v>
      </c>
    </row>
    <row r="940" spans="16:16" x14ac:dyDescent="0.3">
      <c r="P940" s="3">
        <v>12</v>
      </c>
    </row>
    <row r="941" spans="16:16" x14ac:dyDescent="0.3">
      <c r="P941" s="4">
        <v>12</v>
      </c>
    </row>
    <row r="942" spans="16:16" x14ac:dyDescent="0.3">
      <c r="P942" s="3">
        <v>12</v>
      </c>
    </row>
    <row r="943" spans="16:16" x14ac:dyDescent="0.3">
      <c r="P943" s="4">
        <v>12</v>
      </c>
    </row>
    <row r="944" spans="16:16" x14ac:dyDescent="0.3">
      <c r="P944" s="3">
        <v>12</v>
      </c>
    </row>
    <row r="945" spans="16:16" x14ac:dyDescent="0.3">
      <c r="P945" s="4">
        <v>12</v>
      </c>
    </row>
    <row r="946" spans="16:16" x14ac:dyDescent="0.3">
      <c r="P946" s="3">
        <v>12</v>
      </c>
    </row>
    <row r="947" spans="16:16" x14ac:dyDescent="0.3">
      <c r="P947" s="4">
        <v>12</v>
      </c>
    </row>
    <row r="948" spans="16:16" x14ac:dyDescent="0.3">
      <c r="P948" s="3">
        <v>12</v>
      </c>
    </row>
    <row r="949" spans="16:16" x14ac:dyDescent="0.3">
      <c r="P949" s="4">
        <v>12</v>
      </c>
    </row>
    <row r="950" spans="16:16" x14ac:dyDescent="0.3">
      <c r="P950" s="3">
        <v>12</v>
      </c>
    </row>
    <row r="951" spans="16:16" x14ac:dyDescent="0.3">
      <c r="P951" s="4">
        <v>12</v>
      </c>
    </row>
    <row r="952" spans="16:16" x14ac:dyDescent="0.3">
      <c r="P952" s="3">
        <v>12</v>
      </c>
    </row>
    <row r="953" spans="16:16" x14ac:dyDescent="0.3">
      <c r="P953" s="4">
        <v>12</v>
      </c>
    </row>
    <row r="954" spans="16:16" x14ac:dyDescent="0.3">
      <c r="P954" s="3">
        <v>12</v>
      </c>
    </row>
    <row r="955" spans="16:16" x14ac:dyDescent="0.3">
      <c r="P955" s="4">
        <v>12</v>
      </c>
    </row>
    <row r="956" spans="16:16" x14ac:dyDescent="0.3">
      <c r="P956" s="3">
        <v>12</v>
      </c>
    </row>
    <row r="957" spans="16:16" x14ac:dyDescent="0.3">
      <c r="P957" s="4">
        <v>12</v>
      </c>
    </row>
    <row r="958" spans="16:16" x14ac:dyDescent="0.3">
      <c r="P958" s="3">
        <v>12</v>
      </c>
    </row>
    <row r="959" spans="16:16" x14ac:dyDescent="0.3">
      <c r="P959" s="4">
        <v>12</v>
      </c>
    </row>
    <row r="960" spans="16:16" x14ac:dyDescent="0.3">
      <c r="P960" s="3">
        <v>12</v>
      </c>
    </row>
    <row r="961" spans="16:16" x14ac:dyDescent="0.3">
      <c r="P961" s="4">
        <v>12</v>
      </c>
    </row>
    <row r="962" spans="16:16" x14ac:dyDescent="0.3">
      <c r="P962" s="3">
        <v>12</v>
      </c>
    </row>
    <row r="963" spans="16:16" x14ac:dyDescent="0.3">
      <c r="P963" s="4">
        <v>12</v>
      </c>
    </row>
    <row r="964" spans="16:16" x14ac:dyDescent="0.3">
      <c r="P964" s="3">
        <v>12</v>
      </c>
    </row>
    <row r="965" spans="16:16" x14ac:dyDescent="0.3">
      <c r="P965" s="4">
        <v>12</v>
      </c>
    </row>
    <row r="966" spans="16:16" x14ac:dyDescent="0.3">
      <c r="P966" s="3">
        <v>12</v>
      </c>
    </row>
    <row r="967" spans="16:16" x14ac:dyDescent="0.3">
      <c r="P967" s="4">
        <v>12</v>
      </c>
    </row>
    <row r="968" spans="16:16" x14ac:dyDescent="0.3">
      <c r="P968" s="3">
        <v>12</v>
      </c>
    </row>
    <row r="969" spans="16:16" x14ac:dyDescent="0.3">
      <c r="P969" s="4">
        <v>12</v>
      </c>
    </row>
    <row r="970" spans="16:16" x14ac:dyDescent="0.3">
      <c r="P970" s="3">
        <v>12</v>
      </c>
    </row>
    <row r="971" spans="16:16" x14ac:dyDescent="0.3">
      <c r="P971" s="4">
        <v>12</v>
      </c>
    </row>
    <row r="972" spans="16:16" x14ac:dyDescent="0.3">
      <c r="P972" s="3">
        <v>12</v>
      </c>
    </row>
    <row r="973" spans="16:16" x14ac:dyDescent="0.3">
      <c r="P973" s="4">
        <v>12</v>
      </c>
    </row>
    <row r="974" spans="16:16" x14ac:dyDescent="0.3">
      <c r="P974" s="3">
        <v>12</v>
      </c>
    </row>
    <row r="975" spans="16:16" x14ac:dyDescent="0.3">
      <c r="P975" s="4">
        <v>12</v>
      </c>
    </row>
    <row r="976" spans="16:16" x14ac:dyDescent="0.3">
      <c r="P976" s="3">
        <v>12</v>
      </c>
    </row>
    <row r="977" spans="16:16" x14ac:dyDescent="0.3">
      <c r="P977" s="4">
        <v>12</v>
      </c>
    </row>
    <row r="978" spans="16:16" x14ac:dyDescent="0.3">
      <c r="P978" s="3">
        <v>12</v>
      </c>
    </row>
    <row r="979" spans="16:16" x14ac:dyDescent="0.3">
      <c r="P979" s="4">
        <v>12</v>
      </c>
    </row>
    <row r="980" spans="16:16" x14ac:dyDescent="0.3">
      <c r="P980" s="3">
        <v>12</v>
      </c>
    </row>
    <row r="981" spans="16:16" x14ac:dyDescent="0.3">
      <c r="P981" s="4">
        <v>12</v>
      </c>
    </row>
    <row r="982" spans="16:16" x14ac:dyDescent="0.3">
      <c r="P982" s="3">
        <v>13</v>
      </c>
    </row>
    <row r="983" spans="16:16" x14ac:dyDescent="0.3">
      <c r="P983" s="4">
        <v>13</v>
      </c>
    </row>
    <row r="984" spans="16:16" x14ac:dyDescent="0.3">
      <c r="P984" s="3">
        <v>13</v>
      </c>
    </row>
    <row r="985" spans="16:16" x14ac:dyDescent="0.3">
      <c r="P985" s="4">
        <v>13</v>
      </c>
    </row>
    <row r="986" spans="16:16" x14ac:dyDescent="0.3">
      <c r="P986" s="3">
        <v>13</v>
      </c>
    </row>
    <row r="987" spans="16:16" x14ac:dyDescent="0.3">
      <c r="P987" s="4">
        <v>13</v>
      </c>
    </row>
    <row r="988" spans="16:16" x14ac:dyDescent="0.3">
      <c r="P988" s="3">
        <v>13</v>
      </c>
    </row>
    <row r="989" spans="16:16" x14ac:dyDescent="0.3">
      <c r="P989" s="4">
        <v>13</v>
      </c>
    </row>
    <row r="990" spans="16:16" x14ac:dyDescent="0.3">
      <c r="P990" s="3">
        <v>13</v>
      </c>
    </row>
    <row r="991" spans="16:16" x14ac:dyDescent="0.3">
      <c r="P991" s="4">
        <v>13</v>
      </c>
    </row>
    <row r="992" spans="16:16" x14ac:dyDescent="0.3">
      <c r="P992" s="3">
        <v>13</v>
      </c>
    </row>
    <row r="993" spans="16:16" x14ac:dyDescent="0.3">
      <c r="P993" s="4">
        <v>13</v>
      </c>
    </row>
    <row r="994" spans="16:16" x14ac:dyDescent="0.3">
      <c r="P994" s="3">
        <v>13</v>
      </c>
    </row>
    <row r="995" spans="16:16" x14ac:dyDescent="0.3">
      <c r="P995" s="4">
        <v>13</v>
      </c>
    </row>
    <row r="996" spans="16:16" x14ac:dyDescent="0.3">
      <c r="P996" s="3">
        <v>13</v>
      </c>
    </row>
    <row r="997" spans="16:16" x14ac:dyDescent="0.3">
      <c r="P997" s="4">
        <v>13</v>
      </c>
    </row>
    <row r="998" spans="16:16" x14ac:dyDescent="0.3">
      <c r="P998" s="3">
        <v>13</v>
      </c>
    </row>
    <row r="999" spans="16:16" x14ac:dyDescent="0.3">
      <c r="P999" s="4">
        <v>13</v>
      </c>
    </row>
    <row r="1000" spans="16:16" x14ac:dyDescent="0.3">
      <c r="P1000" s="3">
        <v>13</v>
      </c>
    </row>
    <row r="1001" spans="16:16" x14ac:dyDescent="0.3">
      <c r="P1001" s="4">
        <v>13</v>
      </c>
    </row>
    <row r="1002" spans="16:16" x14ac:dyDescent="0.3">
      <c r="P1002" s="3">
        <v>13</v>
      </c>
    </row>
    <row r="1003" spans="16:16" x14ac:dyDescent="0.3">
      <c r="P1003" s="4">
        <v>13</v>
      </c>
    </row>
    <row r="1004" spans="16:16" x14ac:dyDescent="0.3">
      <c r="P1004" s="3">
        <v>13</v>
      </c>
    </row>
    <row r="1005" spans="16:16" x14ac:dyDescent="0.3">
      <c r="P1005" s="4">
        <v>13</v>
      </c>
    </row>
    <row r="1006" spans="16:16" x14ac:dyDescent="0.3">
      <c r="P1006" s="3">
        <v>13</v>
      </c>
    </row>
    <row r="1007" spans="16:16" x14ac:dyDescent="0.3">
      <c r="P1007" s="4">
        <v>13</v>
      </c>
    </row>
    <row r="1008" spans="16:16" x14ac:dyDescent="0.3">
      <c r="P1008" s="3">
        <v>13</v>
      </c>
    </row>
    <row r="1009" spans="16:16" x14ac:dyDescent="0.3">
      <c r="P1009" s="4">
        <v>13</v>
      </c>
    </row>
    <row r="1010" spans="16:16" x14ac:dyDescent="0.3">
      <c r="P1010" s="3">
        <v>13</v>
      </c>
    </row>
    <row r="1011" spans="16:16" x14ac:dyDescent="0.3">
      <c r="P1011" s="4">
        <v>13</v>
      </c>
    </row>
    <row r="1012" spans="16:16" x14ac:dyDescent="0.3">
      <c r="P1012" s="3">
        <v>13</v>
      </c>
    </row>
    <row r="1013" spans="16:16" x14ac:dyDescent="0.3">
      <c r="P1013" s="4">
        <v>13</v>
      </c>
    </row>
    <row r="1014" spans="16:16" x14ac:dyDescent="0.3">
      <c r="P1014" s="3">
        <v>13</v>
      </c>
    </row>
    <row r="1015" spans="16:16" x14ac:dyDescent="0.3">
      <c r="P1015" s="4">
        <v>13</v>
      </c>
    </row>
    <row r="1016" spans="16:16" x14ac:dyDescent="0.3">
      <c r="P1016" s="3">
        <v>13</v>
      </c>
    </row>
    <row r="1017" spans="16:16" x14ac:dyDescent="0.3">
      <c r="P1017" s="4">
        <v>13</v>
      </c>
    </row>
    <row r="1018" spans="16:16" x14ac:dyDescent="0.3">
      <c r="P1018" s="3">
        <v>13</v>
      </c>
    </row>
    <row r="1019" spans="16:16" x14ac:dyDescent="0.3">
      <c r="P1019" s="4">
        <v>13</v>
      </c>
    </row>
    <row r="1020" spans="16:16" x14ac:dyDescent="0.3">
      <c r="P1020" s="3">
        <v>13</v>
      </c>
    </row>
    <row r="1021" spans="16:16" x14ac:dyDescent="0.3">
      <c r="P1021" s="4">
        <v>13</v>
      </c>
    </row>
    <row r="1022" spans="16:16" x14ac:dyDescent="0.3">
      <c r="P1022" s="3">
        <v>13</v>
      </c>
    </row>
    <row r="1023" spans="16:16" x14ac:dyDescent="0.3">
      <c r="P1023" s="4">
        <v>14</v>
      </c>
    </row>
    <row r="1024" spans="16:16" x14ac:dyDescent="0.3">
      <c r="P1024" s="3">
        <v>14</v>
      </c>
    </row>
    <row r="1025" spans="16:16" x14ac:dyDescent="0.3">
      <c r="P1025" s="4">
        <v>14</v>
      </c>
    </row>
    <row r="1026" spans="16:16" x14ac:dyDescent="0.3">
      <c r="P1026" s="3">
        <v>14</v>
      </c>
    </row>
    <row r="1027" spans="16:16" x14ac:dyDescent="0.3">
      <c r="P1027" s="4">
        <v>14</v>
      </c>
    </row>
    <row r="1028" spans="16:16" x14ac:dyDescent="0.3">
      <c r="P1028" s="3">
        <v>14</v>
      </c>
    </row>
    <row r="1029" spans="16:16" x14ac:dyDescent="0.3">
      <c r="P1029" s="4">
        <v>14</v>
      </c>
    </row>
    <row r="1030" spans="16:16" x14ac:dyDescent="0.3">
      <c r="P1030" s="3">
        <v>14</v>
      </c>
    </row>
    <row r="1031" spans="16:16" x14ac:dyDescent="0.3">
      <c r="P1031" s="4">
        <v>14</v>
      </c>
    </row>
    <row r="1032" spans="16:16" x14ac:dyDescent="0.3">
      <c r="P1032" s="3">
        <v>14</v>
      </c>
    </row>
    <row r="1033" spans="16:16" x14ac:dyDescent="0.3">
      <c r="P1033" s="4">
        <v>14</v>
      </c>
    </row>
    <row r="1034" spans="16:16" x14ac:dyDescent="0.3">
      <c r="P1034" s="3">
        <v>14</v>
      </c>
    </row>
    <row r="1035" spans="16:16" x14ac:dyDescent="0.3">
      <c r="P1035" s="4">
        <v>14</v>
      </c>
    </row>
    <row r="1036" spans="16:16" x14ac:dyDescent="0.3">
      <c r="P1036" s="3">
        <v>14</v>
      </c>
    </row>
    <row r="1037" spans="16:16" x14ac:dyDescent="0.3">
      <c r="P1037" s="4">
        <v>14</v>
      </c>
    </row>
    <row r="1038" spans="16:16" x14ac:dyDescent="0.3">
      <c r="P1038" s="3">
        <v>14</v>
      </c>
    </row>
    <row r="1039" spans="16:16" x14ac:dyDescent="0.3">
      <c r="P1039" s="4">
        <v>14</v>
      </c>
    </row>
    <row r="1040" spans="16:16" x14ac:dyDescent="0.3">
      <c r="P1040" s="3">
        <v>14</v>
      </c>
    </row>
    <row r="1041" spans="16:16" x14ac:dyDescent="0.3">
      <c r="P1041" s="4">
        <v>14</v>
      </c>
    </row>
    <row r="1042" spans="16:16" x14ac:dyDescent="0.3">
      <c r="P1042" s="3">
        <v>14</v>
      </c>
    </row>
    <row r="1043" spans="16:16" x14ac:dyDescent="0.3">
      <c r="P1043" s="4">
        <v>14</v>
      </c>
    </row>
    <row r="1044" spans="16:16" x14ac:dyDescent="0.3">
      <c r="P1044" s="3">
        <v>14</v>
      </c>
    </row>
    <row r="1045" spans="16:16" x14ac:dyDescent="0.3">
      <c r="P1045" s="4">
        <v>14</v>
      </c>
    </row>
    <row r="1046" spans="16:16" x14ac:dyDescent="0.3">
      <c r="P1046" s="3">
        <v>14</v>
      </c>
    </row>
    <row r="1047" spans="16:16" x14ac:dyDescent="0.3">
      <c r="P1047" s="4">
        <v>14</v>
      </c>
    </row>
    <row r="1048" spans="16:16" x14ac:dyDescent="0.3">
      <c r="P1048" s="3">
        <v>14</v>
      </c>
    </row>
    <row r="1049" spans="16:16" x14ac:dyDescent="0.3">
      <c r="P1049" s="4">
        <v>14</v>
      </c>
    </row>
    <row r="1050" spans="16:16" x14ac:dyDescent="0.3">
      <c r="P1050" s="3">
        <v>14</v>
      </c>
    </row>
    <row r="1051" spans="16:16" x14ac:dyDescent="0.3">
      <c r="P1051" s="4">
        <v>14</v>
      </c>
    </row>
    <row r="1052" spans="16:16" x14ac:dyDescent="0.3">
      <c r="P1052" s="3">
        <v>14</v>
      </c>
    </row>
    <row r="1053" spans="16:16" x14ac:dyDescent="0.3">
      <c r="P1053" s="4">
        <v>14</v>
      </c>
    </row>
    <row r="1054" spans="16:16" x14ac:dyDescent="0.3">
      <c r="P1054" s="3">
        <v>14</v>
      </c>
    </row>
    <row r="1055" spans="16:16" x14ac:dyDescent="0.3">
      <c r="P1055" s="4">
        <v>14</v>
      </c>
    </row>
    <row r="1056" spans="16:16" x14ac:dyDescent="0.3">
      <c r="P1056" s="3">
        <v>14</v>
      </c>
    </row>
    <row r="1057" spans="16:16" x14ac:dyDescent="0.3">
      <c r="P1057" s="4">
        <v>14</v>
      </c>
    </row>
    <row r="1058" spans="16:16" x14ac:dyDescent="0.3">
      <c r="P1058" s="3">
        <v>14</v>
      </c>
    </row>
    <row r="1059" spans="16:16" x14ac:dyDescent="0.3">
      <c r="P1059" s="4">
        <v>14</v>
      </c>
    </row>
    <row r="1060" spans="16:16" x14ac:dyDescent="0.3">
      <c r="P1060" s="3">
        <v>14</v>
      </c>
    </row>
    <row r="1061" spans="16:16" x14ac:dyDescent="0.3">
      <c r="P1061" s="4">
        <v>14</v>
      </c>
    </row>
    <row r="1062" spans="16:16" x14ac:dyDescent="0.3">
      <c r="P1062" s="3">
        <v>15</v>
      </c>
    </row>
    <row r="1063" spans="16:16" x14ac:dyDescent="0.3">
      <c r="P1063" s="4">
        <v>15</v>
      </c>
    </row>
    <row r="1064" spans="16:16" x14ac:dyDescent="0.3">
      <c r="P1064" s="3">
        <v>15</v>
      </c>
    </row>
    <row r="1065" spans="16:16" x14ac:dyDescent="0.3">
      <c r="P1065" s="4">
        <v>15</v>
      </c>
    </row>
    <row r="1066" spans="16:16" x14ac:dyDescent="0.3">
      <c r="P1066" s="3">
        <v>15</v>
      </c>
    </row>
    <row r="1067" spans="16:16" x14ac:dyDescent="0.3">
      <c r="P1067" s="4">
        <v>15</v>
      </c>
    </row>
    <row r="1068" spans="16:16" x14ac:dyDescent="0.3">
      <c r="P1068" s="3">
        <v>15</v>
      </c>
    </row>
    <row r="1069" spans="16:16" x14ac:dyDescent="0.3">
      <c r="P1069" s="4">
        <v>15</v>
      </c>
    </row>
    <row r="1070" spans="16:16" x14ac:dyDescent="0.3">
      <c r="P1070" s="3">
        <v>15</v>
      </c>
    </row>
    <row r="1071" spans="16:16" x14ac:dyDescent="0.3">
      <c r="P1071" s="4">
        <v>15</v>
      </c>
    </row>
    <row r="1072" spans="16:16" x14ac:dyDescent="0.3">
      <c r="P1072" s="3">
        <v>15</v>
      </c>
    </row>
    <row r="1073" spans="16:16" x14ac:dyDescent="0.3">
      <c r="P1073" s="4">
        <v>15</v>
      </c>
    </row>
    <row r="1074" spans="16:16" x14ac:dyDescent="0.3">
      <c r="P1074" s="3">
        <v>15</v>
      </c>
    </row>
    <row r="1075" spans="16:16" x14ac:dyDescent="0.3">
      <c r="P1075" s="4">
        <v>15</v>
      </c>
    </row>
    <row r="1076" spans="16:16" x14ac:dyDescent="0.3">
      <c r="P1076" s="3">
        <v>15</v>
      </c>
    </row>
    <row r="1077" spans="16:16" x14ac:dyDescent="0.3">
      <c r="P1077" s="4">
        <v>15</v>
      </c>
    </row>
    <row r="1078" spans="16:16" x14ac:dyDescent="0.3">
      <c r="P1078" s="3">
        <v>15</v>
      </c>
    </row>
    <row r="1079" spans="16:16" x14ac:dyDescent="0.3">
      <c r="P1079" s="4">
        <v>15</v>
      </c>
    </row>
    <row r="1080" spans="16:16" x14ac:dyDescent="0.3">
      <c r="P1080" s="3">
        <v>15</v>
      </c>
    </row>
    <row r="1081" spans="16:16" x14ac:dyDescent="0.3">
      <c r="P1081" s="4">
        <v>15</v>
      </c>
    </row>
    <row r="1082" spans="16:16" x14ac:dyDescent="0.3">
      <c r="P1082" s="3">
        <v>15</v>
      </c>
    </row>
    <row r="1083" spans="16:16" x14ac:dyDescent="0.3">
      <c r="P1083" s="4">
        <v>15</v>
      </c>
    </row>
    <row r="1084" spans="16:16" x14ac:dyDescent="0.3">
      <c r="P1084" s="3">
        <v>15</v>
      </c>
    </row>
    <row r="1085" spans="16:16" x14ac:dyDescent="0.3">
      <c r="P1085" s="4">
        <v>15</v>
      </c>
    </row>
    <row r="1086" spans="16:16" x14ac:dyDescent="0.3">
      <c r="P1086" s="3">
        <v>15</v>
      </c>
    </row>
    <row r="1087" spans="16:16" x14ac:dyDescent="0.3">
      <c r="P1087" s="4">
        <v>15</v>
      </c>
    </row>
    <row r="1088" spans="16:16" x14ac:dyDescent="0.3">
      <c r="P1088" s="3">
        <v>15</v>
      </c>
    </row>
    <row r="1089" spans="16:16" x14ac:dyDescent="0.3">
      <c r="P1089" s="4">
        <v>15</v>
      </c>
    </row>
    <row r="1090" spans="16:16" x14ac:dyDescent="0.3">
      <c r="P1090" s="3">
        <v>15</v>
      </c>
    </row>
    <row r="1091" spans="16:16" x14ac:dyDescent="0.3">
      <c r="P1091" s="4">
        <v>15</v>
      </c>
    </row>
    <row r="1092" spans="16:16" x14ac:dyDescent="0.3">
      <c r="P1092" s="3">
        <v>15</v>
      </c>
    </row>
    <row r="1093" spans="16:16" x14ac:dyDescent="0.3">
      <c r="P1093" s="4">
        <v>15</v>
      </c>
    </row>
    <row r="1094" spans="16:16" x14ac:dyDescent="0.3">
      <c r="P1094" s="3">
        <v>15</v>
      </c>
    </row>
    <row r="1095" spans="16:16" x14ac:dyDescent="0.3">
      <c r="P1095" s="4">
        <v>15</v>
      </c>
    </row>
    <row r="1096" spans="16:16" x14ac:dyDescent="0.3">
      <c r="P1096" s="3">
        <v>15</v>
      </c>
    </row>
    <row r="1097" spans="16:16" x14ac:dyDescent="0.3">
      <c r="P1097" s="4">
        <v>15</v>
      </c>
    </row>
    <row r="1098" spans="16:16" x14ac:dyDescent="0.3">
      <c r="P1098" s="3">
        <v>15</v>
      </c>
    </row>
    <row r="1099" spans="16:16" x14ac:dyDescent="0.3">
      <c r="P1099" s="4">
        <v>15</v>
      </c>
    </row>
    <row r="1100" spans="16:16" x14ac:dyDescent="0.3">
      <c r="P1100" s="3">
        <v>15</v>
      </c>
    </row>
    <row r="1101" spans="16:16" x14ac:dyDescent="0.3">
      <c r="P1101" s="4">
        <v>15</v>
      </c>
    </row>
    <row r="1102" spans="16:16" x14ac:dyDescent="0.3">
      <c r="P1102" s="3">
        <v>15</v>
      </c>
    </row>
    <row r="1103" spans="16:16" x14ac:dyDescent="0.3">
      <c r="P1103" s="4">
        <v>15</v>
      </c>
    </row>
    <row r="1104" spans="16:16" x14ac:dyDescent="0.3">
      <c r="P1104" s="3">
        <v>15</v>
      </c>
    </row>
    <row r="1105" spans="16:16" x14ac:dyDescent="0.3">
      <c r="P1105" s="4">
        <v>15</v>
      </c>
    </row>
    <row r="1106" spans="16:16" x14ac:dyDescent="0.3">
      <c r="P1106" s="3">
        <v>15</v>
      </c>
    </row>
    <row r="1107" spans="16:16" x14ac:dyDescent="0.3">
      <c r="P1107" s="4">
        <v>15</v>
      </c>
    </row>
    <row r="1108" spans="16:16" x14ac:dyDescent="0.3">
      <c r="P1108" s="3">
        <v>15</v>
      </c>
    </row>
    <row r="1109" spans="16:16" x14ac:dyDescent="0.3">
      <c r="P1109" s="4">
        <v>15</v>
      </c>
    </row>
    <row r="1110" spans="16:16" x14ac:dyDescent="0.3">
      <c r="P1110" s="3">
        <v>15</v>
      </c>
    </row>
    <row r="1111" spans="16:16" x14ac:dyDescent="0.3">
      <c r="P1111" s="4">
        <v>15</v>
      </c>
    </row>
    <row r="1112" spans="16:16" x14ac:dyDescent="0.3">
      <c r="P1112" s="3">
        <v>15</v>
      </c>
    </row>
    <row r="1113" spans="16:16" x14ac:dyDescent="0.3">
      <c r="P1113" s="4">
        <v>15</v>
      </c>
    </row>
    <row r="1114" spans="16:16" x14ac:dyDescent="0.3">
      <c r="P1114" s="3">
        <v>15</v>
      </c>
    </row>
    <row r="1115" spans="16:16" x14ac:dyDescent="0.3">
      <c r="P1115" s="4">
        <v>15</v>
      </c>
    </row>
    <row r="1116" spans="16:16" x14ac:dyDescent="0.3">
      <c r="P1116" s="3">
        <v>15</v>
      </c>
    </row>
    <row r="1117" spans="16:16" x14ac:dyDescent="0.3">
      <c r="P1117" s="4">
        <v>15</v>
      </c>
    </row>
    <row r="1118" spans="16:16" x14ac:dyDescent="0.3">
      <c r="P1118" s="3">
        <v>15</v>
      </c>
    </row>
    <row r="1119" spans="16:16" x14ac:dyDescent="0.3">
      <c r="P1119" s="4">
        <v>15</v>
      </c>
    </row>
    <row r="1120" spans="16:16" x14ac:dyDescent="0.3">
      <c r="P1120" s="3">
        <v>15</v>
      </c>
    </row>
    <row r="1121" spans="16:16" x14ac:dyDescent="0.3">
      <c r="P1121" s="4">
        <v>15</v>
      </c>
    </row>
    <row r="1122" spans="16:16" x14ac:dyDescent="0.3">
      <c r="P1122" s="3">
        <v>15</v>
      </c>
    </row>
    <row r="1123" spans="16:16" x14ac:dyDescent="0.3">
      <c r="P1123" s="4">
        <v>15</v>
      </c>
    </row>
    <row r="1124" spans="16:16" x14ac:dyDescent="0.3">
      <c r="P1124" s="3">
        <v>15</v>
      </c>
    </row>
    <row r="1125" spans="16:16" x14ac:dyDescent="0.3">
      <c r="P1125" s="4">
        <v>15</v>
      </c>
    </row>
    <row r="1126" spans="16:16" x14ac:dyDescent="0.3">
      <c r="P1126" s="3">
        <v>16</v>
      </c>
    </row>
    <row r="1127" spans="16:16" x14ac:dyDescent="0.3">
      <c r="P1127" s="4">
        <v>16</v>
      </c>
    </row>
    <row r="1128" spans="16:16" x14ac:dyDescent="0.3">
      <c r="P1128" s="3">
        <v>16</v>
      </c>
    </row>
    <row r="1129" spans="16:16" x14ac:dyDescent="0.3">
      <c r="P1129" s="4">
        <v>16</v>
      </c>
    </row>
    <row r="1130" spans="16:16" x14ac:dyDescent="0.3">
      <c r="P1130" s="3">
        <v>16</v>
      </c>
    </row>
    <row r="1131" spans="16:16" x14ac:dyDescent="0.3">
      <c r="P1131" s="4">
        <v>16</v>
      </c>
    </row>
    <row r="1132" spans="16:16" x14ac:dyDescent="0.3">
      <c r="P1132" s="3">
        <v>16</v>
      </c>
    </row>
    <row r="1133" spans="16:16" x14ac:dyDescent="0.3">
      <c r="P1133" s="4">
        <v>16</v>
      </c>
    </row>
    <row r="1134" spans="16:16" x14ac:dyDescent="0.3">
      <c r="P1134" s="3">
        <v>16</v>
      </c>
    </row>
    <row r="1135" spans="16:16" x14ac:dyDescent="0.3">
      <c r="P1135" s="4">
        <v>16</v>
      </c>
    </row>
    <row r="1136" spans="16:16" x14ac:dyDescent="0.3">
      <c r="P1136" s="3">
        <v>16</v>
      </c>
    </row>
    <row r="1137" spans="16:16" x14ac:dyDescent="0.3">
      <c r="P1137" s="4">
        <v>16</v>
      </c>
    </row>
    <row r="1138" spans="16:16" x14ac:dyDescent="0.3">
      <c r="P1138" s="3">
        <v>16</v>
      </c>
    </row>
    <row r="1139" spans="16:16" x14ac:dyDescent="0.3">
      <c r="P1139" s="4">
        <v>16</v>
      </c>
    </row>
    <row r="1140" spans="16:16" x14ac:dyDescent="0.3">
      <c r="P1140" s="3">
        <v>16</v>
      </c>
    </row>
    <row r="1141" spans="16:16" x14ac:dyDescent="0.3">
      <c r="P1141" s="4">
        <v>16</v>
      </c>
    </row>
    <row r="1142" spans="16:16" x14ac:dyDescent="0.3">
      <c r="P1142" s="3">
        <v>16</v>
      </c>
    </row>
    <row r="1143" spans="16:16" x14ac:dyDescent="0.3">
      <c r="P1143" s="4">
        <v>16</v>
      </c>
    </row>
    <row r="1144" spans="16:16" x14ac:dyDescent="0.3">
      <c r="P1144" s="3">
        <v>16</v>
      </c>
    </row>
    <row r="1145" spans="16:16" x14ac:dyDescent="0.3">
      <c r="P1145" s="4">
        <v>16</v>
      </c>
    </row>
    <row r="1146" spans="16:16" x14ac:dyDescent="0.3">
      <c r="P1146" s="3">
        <v>17</v>
      </c>
    </row>
    <row r="1147" spans="16:16" x14ac:dyDescent="0.3">
      <c r="P1147" s="4">
        <v>17</v>
      </c>
    </row>
    <row r="1148" spans="16:16" x14ac:dyDescent="0.3">
      <c r="P1148" s="3">
        <v>17</v>
      </c>
    </row>
    <row r="1149" spans="16:16" x14ac:dyDescent="0.3">
      <c r="P1149" s="4">
        <v>17</v>
      </c>
    </row>
    <row r="1150" spans="16:16" x14ac:dyDescent="0.3">
      <c r="P1150" s="3">
        <v>17</v>
      </c>
    </row>
    <row r="1151" spans="16:16" x14ac:dyDescent="0.3">
      <c r="P1151" s="4">
        <v>17</v>
      </c>
    </row>
    <row r="1152" spans="16:16" x14ac:dyDescent="0.3">
      <c r="P1152" s="3">
        <v>17</v>
      </c>
    </row>
    <row r="1153" spans="16:16" x14ac:dyDescent="0.3">
      <c r="P1153" s="4">
        <v>17</v>
      </c>
    </row>
    <row r="1154" spans="16:16" x14ac:dyDescent="0.3">
      <c r="P1154" s="3">
        <v>17</v>
      </c>
    </row>
    <row r="1155" spans="16:16" x14ac:dyDescent="0.3">
      <c r="P1155" s="4">
        <v>17</v>
      </c>
    </row>
    <row r="1156" spans="16:16" x14ac:dyDescent="0.3">
      <c r="P1156" s="3">
        <v>17</v>
      </c>
    </row>
    <row r="1157" spans="16:16" x14ac:dyDescent="0.3">
      <c r="P1157" s="4">
        <v>17</v>
      </c>
    </row>
    <row r="1158" spans="16:16" x14ac:dyDescent="0.3">
      <c r="P1158" s="3">
        <v>18</v>
      </c>
    </row>
    <row r="1159" spans="16:16" x14ac:dyDescent="0.3">
      <c r="P1159" s="4">
        <v>18</v>
      </c>
    </row>
    <row r="1160" spans="16:16" x14ac:dyDescent="0.3">
      <c r="P1160" s="3">
        <v>18</v>
      </c>
    </row>
    <row r="1161" spans="16:16" x14ac:dyDescent="0.3">
      <c r="P1161" s="4">
        <v>18</v>
      </c>
    </row>
    <row r="1162" spans="16:16" x14ac:dyDescent="0.3">
      <c r="P1162" s="3">
        <v>18</v>
      </c>
    </row>
    <row r="1163" spans="16:16" x14ac:dyDescent="0.3">
      <c r="P1163" s="4">
        <v>18</v>
      </c>
    </row>
    <row r="1164" spans="16:16" x14ac:dyDescent="0.3">
      <c r="P1164" s="3">
        <v>18</v>
      </c>
    </row>
    <row r="1165" spans="16:16" x14ac:dyDescent="0.3">
      <c r="P1165" s="4">
        <v>18</v>
      </c>
    </row>
    <row r="1166" spans="16:16" x14ac:dyDescent="0.3">
      <c r="P1166" s="3">
        <v>18</v>
      </c>
    </row>
    <row r="1167" spans="16:16" x14ac:dyDescent="0.3">
      <c r="P1167" s="4">
        <v>18</v>
      </c>
    </row>
    <row r="1168" spans="16:16" x14ac:dyDescent="0.3">
      <c r="P1168" s="3">
        <v>18</v>
      </c>
    </row>
    <row r="1169" spans="16:16" x14ac:dyDescent="0.3">
      <c r="P1169" s="4">
        <v>18</v>
      </c>
    </row>
    <row r="1170" spans="16:16" x14ac:dyDescent="0.3">
      <c r="P1170" s="3">
        <v>18</v>
      </c>
    </row>
    <row r="1171" spans="16:16" x14ac:dyDescent="0.3">
      <c r="P1171" s="4">
        <v>18</v>
      </c>
    </row>
    <row r="1172" spans="16:16" x14ac:dyDescent="0.3">
      <c r="P1172" s="3">
        <v>18</v>
      </c>
    </row>
    <row r="1173" spans="16:16" x14ac:dyDescent="0.3">
      <c r="P1173" s="4">
        <v>18</v>
      </c>
    </row>
    <row r="1174" spans="16:16" x14ac:dyDescent="0.3">
      <c r="P1174" s="3">
        <v>19</v>
      </c>
    </row>
    <row r="1175" spans="16:16" x14ac:dyDescent="0.3">
      <c r="P1175" s="4">
        <v>19</v>
      </c>
    </row>
    <row r="1176" spans="16:16" x14ac:dyDescent="0.3">
      <c r="P1176" s="3">
        <v>19</v>
      </c>
    </row>
    <row r="1177" spans="16:16" x14ac:dyDescent="0.3">
      <c r="P1177" s="4">
        <v>19</v>
      </c>
    </row>
    <row r="1178" spans="16:16" x14ac:dyDescent="0.3">
      <c r="P1178" s="3">
        <v>19</v>
      </c>
    </row>
    <row r="1179" spans="16:16" x14ac:dyDescent="0.3">
      <c r="P1179" s="4">
        <v>19</v>
      </c>
    </row>
    <row r="1180" spans="16:16" x14ac:dyDescent="0.3">
      <c r="P1180" s="3">
        <v>19</v>
      </c>
    </row>
    <row r="1181" spans="16:16" x14ac:dyDescent="0.3">
      <c r="P1181" s="4">
        <v>20</v>
      </c>
    </row>
    <row r="1182" spans="16:16" x14ac:dyDescent="0.3">
      <c r="P1182" s="3">
        <v>20</v>
      </c>
    </row>
    <row r="1183" spans="16:16" x14ac:dyDescent="0.3">
      <c r="P1183" s="4">
        <v>20</v>
      </c>
    </row>
    <row r="1184" spans="16:16" x14ac:dyDescent="0.3">
      <c r="P1184" s="3">
        <v>20</v>
      </c>
    </row>
    <row r="1185" spans="16:16" x14ac:dyDescent="0.3">
      <c r="P1185" s="4">
        <v>20</v>
      </c>
    </row>
    <row r="1186" spans="16:16" x14ac:dyDescent="0.3">
      <c r="P1186" s="3">
        <v>20</v>
      </c>
    </row>
    <row r="1187" spans="16:16" x14ac:dyDescent="0.3">
      <c r="P1187" s="4">
        <v>20</v>
      </c>
    </row>
    <row r="1188" spans="16:16" x14ac:dyDescent="0.3">
      <c r="P1188" s="3">
        <v>20</v>
      </c>
    </row>
    <row r="1189" spans="16:16" x14ac:dyDescent="0.3">
      <c r="P1189" s="4">
        <v>20</v>
      </c>
    </row>
    <row r="1190" spans="16:16" x14ac:dyDescent="0.3">
      <c r="P1190" s="3">
        <v>20</v>
      </c>
    </row>
    <row r="1191" spans="16:16" x14ac:dyDescent="0.3">
      <c r="P1191" s="4">
        <v>20</v>
      </c>
    </row>
    <row r="1192" spans="16:16" x14ac:dyDescent="0.3">
      <c r="P1192" s="3">
        <v>20</v>
      </c>
    </row>
    <row r="1193" spans="16:16" x14ac:dyDescent="0.3">
      <c r="P1193" s="4">
        <v>20</v>
      </c>
    </row>
    <row r="1194" spans="16:16" x14ac:dyDescent="0.3">
      <c r="P1194" s="3">
        <v>20</v>
      </c>
    </row>
    <row r="1195" spans="16:16" x14ac:dyDescent="0.3">
      <c r="P1195" s="4">
        <v>20</v>
      </c>
    </row>
    <row r="1196" spans="16:16" x14ac:dyDescent="0.3">
      <c r="P1196" s="3">
        <v>20</v>
      </c>
    </row>
    <row r="1197" spans="16:16" x14ac:dyDescent="0.3">
      <c r="P1197" s="4">
        <v>20</v>
      </c>
    </row>
    <row r="1198" spans="16:16" x14ac:dyDescent="0.3">
      <c r="P1198" s="3">
        <v>20</v>
      </c>
    </row>
    <row r="1199" spans="16:16" x14ac:dyDescent="0.3">
      <c r="P1199" s="4">
        <v>20</v>
      </c>
    </row>
    <row r="1200" spans="16:16" x14ac:dyDescent="0.3">
      <c r="P1200" s="3">
        <v>20</v>
      </c>
    </row>
    <row r="1201" spans="16:16" x14ac:dyDescent="0.3">
      <c r="P1201" s="4">
        <v>20</v>
      </c>
    </row>
    <row r="1202" spans="16:16" x14ac:dyDescent="0.3">
      <c r="P1202" s="3">
        <v>20</v>
      </c>
    </row>
    <row r="1203" spans="16:16" x14ac:dyDescent="0.3">
      <c r="P1203" s="4">
        <v>20</v>
      </c>
    </row>
    <row r="1204" spans="16:16" x14ac:dyDescent="0.3">
      <c r="P1204" s="3">
        <v>20</v>
      </c>
    </row>
    <row r="1205" spans="16:16" x14ac:dyDescent="0.3">
      <c r="P1205" s="4">
        <v>20</v>
      </c>
    </row>
    <row r="1206" spans="16:16" x14ac:dyDescent="0.3">
      <c r="P1206" s="3">
        <v>20</v>
      </c>
    </row>
    <row r="1207" spans="16:16" x14ac:dyDescent="0.3">
      <c r="P1207" s="4">
        <v>20</v>
      </c>
    </row>
    <row r="1208" spans="16:16" x14ac:dyDescent="0.3">
      <c r="P1208" s="3">
        <v>20</v>
      </c>
    </row>
    <row r="1209" spans="16:16" x14ac:dyDescent="0.3">
      <c r="P1209" s="4">
        <v>21</v>
      </c>
    </row>
    <row r="1210" spans="16:16" x14ac:dyDescent="0.3">
      <c r="P1210" s="3">
        <v>21</v>
      </c>
    </row>
    <row r="1211" spans="16:16" x14ac:dyDescent="0.3">
      <c r="P1211" s="4">
        <v>21</v>
      </c>
    </row>
    <row r="1212" spans="16:16" x14ac:dyDescent="0.3">
      <c r="P1212" s="3">
        <v>22</v>
      </c>
    </row>
    <row r="1213" spans="16:16" x14ac:dyDescent="0.3">
      <c r="P1213" s="4">
        <v>22</v>
      </c>
    </row>
    <row r="1214" spans="16:16" x14ac:dyDescent="0.3">
      <c r="P1214" s="3">
        <v>22</v>
      </c>
    </row>
    <row r="1215" spans="16:16" x14ac:dyDescent="0.3">
      <c r="P1215" s="4">
        <v>22</v>
      </c>
    </row>
    <row r="1216" spans="16:16" x14ac:dyDescent="0.3">
      <c r="P1216" s="3">
        <v>22</v>
      </c>
    </row>
    <row r="1217" spans="16:16" x14ac:dyDescent="0.3">
      <c r="P1217" s="4">
        <v>23</v>
      </c>
    </row>
    <row r="1218" spans="16:16" x14ac:dyDescent="0.3">
      <c r="P1218" s="3">
        <v>23</v>
      </c>
    </row>
    <row r="1219" spans="16:16" x14ac:dyDescent="0.3">
      <c r="P1219" s="4">
        <v>24</v>
      </c>
    </row>
    <row r="1220" spans="16:16" x14ac:dyDescent="0.3">
      <c r="P1220" s="3">
        <v>25</v>
      </c>
    </row>
    <row r="1221" spans="16:16" x14ac:dyDescent="0.3">
      <c r="P1221" s="4">
        <v>25</v>
      </c>
    </row>
    <row r="1222" spans="16:16" x14ac:dyDescent="0.3">
      <c r="P1222" s="3">
        <v>25</v>
      </c>
    </row>
    <row r="1223" spans="16:16" x14ac:dyDescent="0.3">
      <c r="P1223" s="4">
        <v>25</v>
      </c>
    </row>
    <row r="1224" spans="16:16" x14ac:dyDescent="0.3">
      <c r="P1224" s="3">
        <v>25</v>
      </c>
    </row>
    <row r="1225" spans="16:16" x14ac:dyDescent="0.3">
      <c r="P1225" s="4">
        <v>25</v>
      </c>
    </row>
    <row r="1226" spans="16:16" x14ac:dyDescent="0.3">
      <c r="P1226" s="3">
        <v>25</v>
      </c>
    </row>
    <row r="1227" spans="16:16" x14ac:dyDescent="0.3">
      <c r="P1227" s="4">
        <v>26</v>
      </c>
    </row>
    <row r="1228" spans="16:16" x14ac:dyDescent="0.3">
      <c r="P1228" s="3">
        <v>27</v>
      </c>
    </row>
    <row r="1229" spans="16:16" x14ac:dyDescent="0.3">
      <c r="P1229" s="4">
        <v>27</v>
      </c>
    </row>
    <row r="1230" spans="16:16" x14ac:dyDescent="0.3">
      <c r="P1230" s="3">
        <v>28</v>
      </c>
    </row>
    <row r="1231" spans="16:16" x14ac:dyDescent="0.3">
      <c r="P1231" s="4">
        <v>29</v>
      </c>
    </row>
    <row r="1232" spans="16:16" x14ac:dyDescent="0.3">
      <c r="P1232" s="3">
        <v>30</v>
      </c>
    </row>
    <row r="1233" spans="16:16" x14ac:dyDescent="0.3">
      <c r="P1233" s="4">
        <v>30</v>
      </c>
    </row>
    <row r="1234" spans="16:16" x14ac:dyDescent="0.3">
      <c r="P1234" s="3">
        <v>30</v>
      </c>
    </row>
    <row r="1235" spans="16:16" x14ac:dyDescent="0.3">
      <c r="P1235" s="4">
        <v>30</v>
      </c>
    </row>
    <row r="1236" spans="16:16" x14ac:dyDescent="0.3">
      <c r="P1236" s="3">
        <v>31</v>
      </c>
    </row>
    <row r="1237" spans="16:16" x14ac:dyDescent="0.3">
      <c r="P1237" s="4">
        <v>40</v>
      </c>
    </row>
    <row r="1238" spans="16:16" x14ac:dyDescent="0.3">
      <c r="P1238" s="3">
        <v>383</v>
      </c>
    </row>
  </sheetData>
  <mergeCells count="2">
    <mergeCell ref="B4:E5"/>
    <mergeCell ref="F26:G28"/>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BF43A-FC92-453B-B52A-0D999D5AC82D}">
  <dimension ref="B1:P1221"/>
  <sheetViews>
    <sheetView showGridLines="0" topLeftCell="A19" workbookViewId="0"/>
  </sheetViews>
  <sheetFormatPr defaultRowHeight="14.4" x14ac:dyDescent="0.3"/>
  <cols>
    <col min="2" max="2" width="17.44140625" bestFit="1" customWidth="1"/>
    <col min="3" max="3" width="12.21875" customWidth="1"/>
    <col min="4" max="4" width="11.5546875" bestFit="1" customWidth="1"/>
    <col min="5" max="5" width="15.33203125" customWidth="1"/>
    <col min="13" max="13" width="14.33203125" customWidth="1"/>
    <col min="14" max="14" width="18.44140625" customWidth="1"/>
    <col min="16" max="16" width="27.77734375" bestFit="1" customWidth="1"/>
  </cols>
  <sheetData>
    <row r="1" spans="2:16" x14ac:dyDescent="0.3">
      <c r="P1" s="2" t="s">
        <v>5</v>
      </c>
    </row>
    <row r="2" spans="2:16" x14ac:dyDescent="0.3">
      <c r="P2" s="3">
        <v>0</v>
      </c>
    </row>
    <row r="3" spans="2:16" x14ac:dyDescent="0.3">
      <c r="P3" s="4">
        <v>0</v>
      </c>
    </row>
    <row r="4" spans="2:16" x14ac:dyDescent="0.3">
      <c r="B4" s="137" t="s">
        <v>537</v>
      </c>
      <c r="C4" s="137"/>
      <c r="D4" s="137"/>
      <c r="E4" s="137"/>
      <c r="P4" s="3">
        <v>0</v>
      </c>
    </row>
    <row r="5" spans="2:16" x14ac:dyDescent="0.3">
      <c r="B5" s="137"/>
      <c r="C5" s="137"/>
      <c r="D5" s="137"/>
      <c r="E5" s="137"/>
      <c r="M5" s="138" t="s">
        <v>538</v>
      </c>
      <c r="N5" s="139"/>
      <c r="P5" s="4">
        <v>0</v>
      </c>
    </row>
    <row r="6" spans="2:16" x14ac:dyDescent="0.3">
      <c r="B6" s="43" t="s">
        <v>493</v>
      </c>
      <c r="C6" s="43" t="s">
        <v>427</v>
      </c>
      <c r="D6" s="43" t="s">
        <v>428</v>
      </c>
      <c r="E6" s="43" t="s">
        <v>429</v>
      </c>
      <c r="M6" s="140"/>
      <c r="N6" s="141"/>
      <c r="P6" s="3">
        <v>0</v>
      </c>
    </row>
    <row r="7" spans="2:16" x14ac:dyDescent="0.3">
      <c r="B7" s="44" t="s">
        <v>445</v>
      </c>
      <c r="C7" s="46">
        <f>COUNTIFS(Tabela1[Years of experience in Germany],"&lt;5")</f>
        <v>850</v>
      </c>
      <c r="D7" s="47">
        <f t="shared" ref="D7:D14" si="0">C7/$C$14</f>
        <v>0.69672131147540983</v>
      </c>
      <c r="E7" s="48">
        <f>D7*100</f>
        <v>69.672131147540981</v>
      </c>
      <c r="M7" s="142"/>
      <c r="N7" s="143"/>
      <c r="P7" s="4">
        <v>0</v>
      </c>
    </row>
    <row r="8" spans="2:16" x14ac:dyDescent="0.3">
      <c r="B8" s="45" t="s">
        <v>436</v>
      </c>
      <c r="C8" s="49">
        <f>COUNTIFS(Tabela1[Years of experience in Germany],"&gt;=5",Tabela1[Years of experience in Germany],"&lt;10")</f>
        <v>287</v>
      </c>
      <c r="D8" s="50">
        <f t="shared" si="0"/>
        <v>0.23524590163934425</v>
      </c>
      <c r="E8" s="51">
        <f t="shared" ref="E8:E14" si="1">D8*100</f>
        <v>23.524590163934427</v>
      </c>
      <c r="M8" s="34" t="s">
        <v>487</v>
      </c>
      <c r="N8" s="15">
        <f>_xlfn.MODE.SNGL(Tabela1[Years of experience in Germany])</f>
        <v>2</v>
      </c>
      <c r="P8" s="3">
        <v>0</v>
      </c>
    </row>
    <row r="9" spans="2:16" x14ac:dyDescent="0.3">
      <c r="B9" s="45" t="s">
        <v>437</v>
      </c>
      <c r="C9" s="49">
        <f>COUNTIFS(Tabela1[Years of experience in Germany],"&gt;=10",Tabela1[Years of experience in Germany],"&lt;15")</f>
        <v>57</v>
      </c>
      <c r="D9" s="50">
        <f t="shared" si="0"/>
        <v>4.6721311475409838E-2</v>
      </c>
      <c r="E9" s="51">
        <f t="shared" si="1"/>
        <v>4.6721311475409841</v>
      </c>
      <c r="M9" s="20" t="s">
        <v>482</v>
      </c>
      <c r="N9" s="15">
        <f>AVERAGE(Tabela1[Years of experience in Germany])</f>
        <v>3.7125409836065577</v>
      </c>
      <c r="P9" s="4">
        <v>0</v>
      </c>
    </row>
    <row r="10" spans="2:16" x14ac:dyDescent="0.3">
      <c r="B10" s="45" t="s">
        <v>438</v>
      </c>
      <c r="C10" s="49">
        <f>COUNTIFS(Tabela1[Years of experience in Germany],"&gt;=15",Tabela1[Years of experience in Germany],"&lt;20")</f>
        <v>14</v>
      </c>
      <c r="D10" s="50">
        <f t="shared" si="0"/>
        <v>1.1475409836065573E-2</v>
      </c>
      <c r="E10" s="51">
        <f t="shared" si="1"/>
        <v>1.1475409836065573</v>
      </c>
      <c r="M10" s="20" t="s">
        <v>483</v>
      </c>
      <c r="N10" s="15">
        <f>MEDIAN(Tabela1[Years of experience in Germany])</f>
        <v>3</v>
      </c>
      <c r="P10" s="3">
        <v>0</v>
      </c>
    </row>
    <row r="11" spans="2:16" ht="15" customHeight="1" x14ac:dyDescent="0.3">
      <c r="B11" s="45" t="s">
        <v>439</v>
      </c>
      <c r="C11" s="49">
        <f>COUNTIFS(Tabela1[Years of experience in Germany],"&gt;=20",Tabela1[Years of experience in Germany],"&lt;25")</f>
        <v>7</v>
      </c>
      <c r="D11" s="50">
        <f t="shared" si="0"/>
        <v>5.7377049180327867E-3</v>
      </c>
      <c r="E11" s="51">
        <f t="shared" si="1"/>
        <v>0.57377049180327866</v>
      </c>
      <c r="M11" s="20" t="s">
        <v>484</v>
      </c>
      <c r="N11" s="15">
        <f>_xlfn.VAR.P(Tabela1[Years of experience in Germany])</f>
        <v>13.217338625369527</v>
      </c>
      <c r="P11" s="4">
        <v>0</v>
      </c>
    </row>
    <row r="12" spans="2:16" x14ac:dyDescent="0.3">
      <c r="B12" s="45" t="s">
        <v>440</v>
      </c>
      <c r="C12" s="49">
        <f>COUNTIFS(Tabela1[Years of experience in Germany],"&gt;=25",Tabela1[Years of experience in Germany],"&lt;30")</f>
        <v>2</v>
      </c>
      <c r="D12" s="50">
        <f t="shared" si="0"/>
        <v>1.639344262295082E-3</v>
      </c>
      <c r="E12" s="51">
        <f t="shared" si="1"/>
        <v>0.16393442622950818</v>
      </c>
      <c r="M12" s="20" t="s">
        <v>485</v>
      </c>
      <c r="N12" s="15">
        <f>_xlfn.STDEV.P(Tabela1[Years of experience in Germany])</f>
        <v>3.6355657916436508</v>
      </c>
      <c r="P12" s="3">
        <v>0</v>
      </c>
    </row>
    <row r="13" spans="2:16" x14ac:dyDescent="0.3">
      <c r="B13" s="45" t="s">
        <v>441</v>
      </c>
      <c r="C13" s="49">
        <f>COUNTIFS(Tabela1[Years of experience in Germany],"&gt;=30",Tabela1[Years of experience in Germany],"&lt;35")</f>
        <v>3</v>
      </c>
      <c r="D13" s="50">
        <f t="shared" si="0"/>
        <v>2.4590163934426232E-3</v>
      </c>
      <c r="E13" s="51">
        <f t="shared" si="1"/>
        <v>0.24590163934426232</v>
      </c>
      <c r="M13" s="18" t="s">
        <v>486</v>
      </c>
      <c r="N13" s="33">
        <f>AVEDEV(Tabela1[Years of experience in Germany])</f>
        <v>2.4836143509809192</v>
      </c>
      <c r="P13" s="4">
        <v>0</v>
      </c>
    </row>
    <row r="14" spans="2:16" x14ac:dyDescent="0.3">
      <c r="B14" s="52" t="s">
        <v>446</v>
      </c>
      <c r="C14" s="53">
        <f>SUM(C7:C13)</f>
        <v>1220</v>
      </c>
      <c r="D14" s="53">
        <f t="shared" si="0"/>
        <v>1</v>
      </c>
      <c r="E14" s="54">
        <f t="shared" si="1"/>
        <v>100</v>
      </c>
      <c r="P14" s="3">
        <v>0</v>
      </c>
    </row>
    <row r="15" spans="2:16" x14ac:dyDescent="0.3">
      <c r="P15" s="4">
        <v>0</v>
      </c>
    </row>
    <row r="16" spans="2:16" x14ac:dyDescent="0.3">
      <c r="P16" s="3">
        <v>0</v>
      </c>
    </row>
    <row r="17" spans="16:16" x14ac:dyDescent="0.3">
      <c r="P17" s="4">
        <v>0</v>
      </c>
    </row>
    <row r="18" spans="16:16" x14ac:dyDescent="0.3">
      <c r="P18" s="3">
        <v>0</v>
      </c>
    </row>
    <row r="19" spans="16:16" x14ac:dyDescent="0.3">
      <c r="P19" s="4">
        <v>0</v>
      </c>
    </row>
    <row r="20" spans="16:16" x14ac:dyDescent="0.3">
      <c r="P20" s="3">
        <v>0</v>
      </c>
    </row>
    <row r="21" spans="16:16" x14ac:dyDescent="0.3">
      <c r="P21" s="4">
        <v>0</v>
      </c>
    </row>
    <row r="22" spans="16:16" x14ac:dyDescent="0.3">
      <c r="P22" s="3">
        <v>0</v>
      </c>
    </row>
    <row r="23" spans="16:16" x14ac:dyDescent="0.3">
      <c r="P23" s="4">
        <v>0</v>
      </c>
    </row>
    <row r="24" spans="16:16" x14ac:dyDescent="0.3">
      <c r="P24" s="3">
        <v>0</v>
      </c>
    </row>
    <row r="25" spans="16:16" x14ac:dyDescent="0.3">
      <c r="P25" s="4">
        <v>0</v>
      </c>
    </row>
    <row r="26" spans="16:16" x14ac:dyDescent="0.3">
      <c r="P26" s="3">
        <v>0</v>
      </c>
    </row>
    <row r="27" spans="16:16" x14ac:dyDescent="0.3">
      <c r="P27" s="4">
        <v>0</v>
      </c>
    </row>
    <row r="28" spans="16:16" x14ac:dyDescent="0.3">
      <c r="P28" s="3">
        <v>0</v>
      </c>
    </row>
    <row r="29" spans="16:16" x14ac:dyDescent="0.3">
      <c r="P29" s="4">
        <v>0</v>
      </c>
    </row>
    <row r="30" spans="16:16" x14ac:dyDescent="0.3">
      <c r="P30" s="3">
        <v>0</v>
      </c>
    </row>
    <row r="31" spans="16:16" x14ac:dyDescent="0.3">
      <c r="P31" s="4">
        <v>0</v>
      </c>
    </row>
    <row r="32" spans="16:16" x14ac:dyDescent="0.3">
      <c r="P32" s="3">
        <v>0</v>
      </c>
    </row>
    <row r="33" spans="16:16" x14ac:dyDescent="0.3">
      <c r="P33" s="4">
        <v>0</v>
      </c>
    </row>
    <row r="34" spans="16:16" x14ac:dyDescent="0.3">
      <c r="P34" s="3">
        <v>0</v>
      </c>
    </row>
    <row r="35" spans="16:16" x14ac:dyDescent="0.3">
      <c r="P35" s="4">
        <v>0</v>
      </c>
    </row>
    <row r="36" spans="16:16" x14ac:dyDescent="0.3">
      <c r="P36" s="3">
        <v>0</v>
      </c>
    </row>
    <row r="37" spans="16:16" x14ac:dyDescent="0.3">
      <c r="P37" s="4">
        <v>0</v>
      </c>
    </row>
    <row r="38" spans="16:16" x14ac:dyDescent="0.3">
      <c r="P38" s="3">
        <v>0</v>
      </c>
    </row>
    <row r="39" spans="16:16" x14ac:dyDescent="0.3">
      <c r="P39" s="4">
        <v>0</v>
      </c>
    </row>
    <row r="40" spans="16:16" x14ac:dyDescent="0.3">
      <c r="P40" s="3">
        <v>0</v>
      </c>
    </row>
    <row r="41" spans="16:16" x14ac:dyDescent="0.3">
      <c r="P41" s="4">
        <v>0</v>
      </c>
    </row>
    <row r="42" spans="16:16" x14ac:dyDescent="0.3">
      <c r="P42" s="3">
        <v>0</v>
      </c>
    </row>
    <row r="43" spans="16:16" x14ac:dyDescent="0.3">
      <c r="P43" s="4">
        <v>0</v>
      </c>
    </row>
    <row r="44" spans="16:16" x14ac:dyDescent="0.3">
      <c r="P44" s="3">
        <v>0</v>
      </c>
    </row>
    <row r="45" spans="16:16" x14ac:dyDescent="0.3">
      <c r="P45" s="4">
        <v>0</v>
      </c>
    </row>
    <row r="46" spans="16:16" x14ac:dyDescent="0.3">
      <c r="P46" s="3">
        <v>0</v>
      </c>
    </row>
    <row r="47" spans="16:16" x14ac:dyDescent="0.3">
      <c r="P47" s="4">
        <v>0</v>
      </c>
    </row>
    <row r="48" spans="16:16" x14ac:dyDescent="0.3">
      <c r="P48" s="3">
        <v>0</v>
      </c>
    </row>
    <row r="49" spans="16:16" x14ac:dyDescent="0.3">
      <c r="P49" s="4">
        <v>0</v>
      </c>
    </row>
    <row r="50" spans="16:16" x14ac:dyDescent="0.3">
      <c r="P50" s="3">
        <v>0</v>
      </c>
    </row>
    <row r="51" spans="16:16" x14ac:dyDescent="0.3">
      <c r="P51" s="4">
        <v>0</v>
      </c>
    </row>
    <row r="52" spans="16:16" x14ac:dyDescent="0.3">
      <c r="P52" s="3">
        <v>0</v>
      </c>
    </row>
    <row r="53" spans="16:16" x14ac:dyDescent="0.3">
      <c r="P53" s="4">
        <v>0</v>
      </c>
    </row>
    <row r="54" spans="16:16" x14ac:dyDescent="0.3">
      <c r="P54" s="3">
        <v>0</v>
      </c>
    </row>
    <row r="55" spans="16:16" x14ac:dyDescent="0.3">
      <c r="P55" s="4">
        <v>0</v>
      </c>
    </row>
    <row r="56" spans="16:16" x14ac:dyDescent="0.3">
      <c r="P56" s="3">
        <v>0</v>
      </c>
    </row>
    <row r="57" spans="16:16" x14ac:dyDescent="0.3">
      <c r="P57" s="4">
        <v>0</v>
      </c>
    </row>
    <row r="58" spans="16:16" x14ac:dyDescent="0.3">
      <c r="P58" s="3">
        <v>0</v>
      </c>
    </row>
    <row r="59" spans="16:16" x14ac:dyDescent="0.3">
      <c r="P59" s="4">
        <v>0</v>
      </c>
    </row>
    <row r="60" spans="16:16" x14ac:dyDescent="0.3">
      <c r="P60" s="3">
        <v>0</v>
      </c>
    </row>
    <row r="61" spans="16:16" x14ac:dyDescent="0.3">
      <c r="P61" s="4">
        <v>0</v>
      </c>
    </row>
    <row r="62" spans="16:16" x14ac:dyDescent="0.3">
      <c r="P62" s="3">
        <v>0</v>
      </c>
    </row>
    <row r="63" spans="16:16" x14ac:dyDescent="0.3">
      <c r="P63" s="4">
        <v>0</v>
      </c>
    </row>
    <row r="64" spans="16:16" x14ac:dyDescent="0.3">
      <c r="P64" s="3">
        <v>0</v>
      </c>
    </row>
    <row r="65" spans="16:16" x14ac:dyDescent="0.3">
      <c r="P65" s="4">
        <v>0</v>
      </c>
    </row>
    <row r="66" spans="16:16" x14ac:dyDescent="0.3">
      <c r="P66" s="3">
        <v>0</v>
      </c>
    </row>
    <row r="67" spans="16:16" x14ac:dyDescent="0.3">
      <c r="P67" s="4">
        <v>0</v>
      </c>
    </row>
    <row r="68" spans="16:16" x14ac:dyDescent="0.3">
      <c r="P68" s="3">
        <v>0</v>
      </c>
    </row>
    <row r="69" spans="16:16" x14ac:dyDescent="0.3">
      <c r="P69" s="4">
        <v>0</v>
      </c>
    </row>
    <row r="70" spans="16:16" x14ac:dyDescent="0.3">
      <c r="P70" s="3">
        <v>0</v>
      </c>
    </row>
    <row r="71" spans="16:16" x14ac:dyDescent="0.3">
      <c r="P71" s="4">
        <v>0</v>
      </c>
    </row>
    <row r="72" spans="16:16" x14ac:dyDescent="0.3">
      <c r="P72" s="3">
        <v>0</v>
      </c>
    </row>
    <row r="73" spans="16:16" x14ac:dyDescent="0.3">
      <c r="P73" s="4">
        <v>0</v>
      </c>
    </row>
    <row r="74" spans="16:16" x14ac:dyDescent="0.3">
      <c r="P74" s="3">
        <v>0</v>
      </c>
    </row>
    <row r="75" spans="16:16" x14ac:dyDescent="0.3">
      <c r="P75" s="4">
        <v>0</v>
      </c>
    </row>
    <row r="76" spans="16:16" x14ac:dyDescent="0.3">
      <c r="P76" s="3">
        <v>0</v>
      </c>
    </row>
    <row r="77" spans="16:16" x14ac:dyDescent="0.3">
      <c r="P77" s="4">
        <v>0</v>
      </c>
    </row>
    <row r="78" spans="16:16" x14ac:dyDescent="0.3">
      <c r="P78" s="3">
        <v>0</v>
      </c>
    </row>
    <row r="79" spans="16:16" x14ac:dyDescent="0.3">
      <c r="P79" s="4">
        <v>0</v>
      </c>
    </row>
    <row r="80" spans="16:16" x14ac:dyDescent="0.3">
      <c r="P80" s="3">
        <v>0</v>
      </c>
    </row>
    <row r="81" spans="16:16" x14ac:dyDescent="0.3">
      <c r="P81" s="4">
        <v>0</v>
      </c>
    </row>
    <row r="82" spans="16:16" x14ac:dyDescent="0.3">
      <c r="P82" s="3">
        <v>0</v>
      </c>
    </row>
    <row r="83" spans="16:16" x14ac:dyDescent="0.3">
      <c r="P83" s="4">
        <v>0</v>
      </c>
    </row>
    <row r="84" spans="16:16" x14ac:dyDescent="0.3">
      <c r="P84" s="3">
        <v>0</v>
      </c>
    </row>
    <row r="85" spans="16:16" x14ac:dyDescent="0.3">
      <c r="P85" s="4">
        <v>0</v>
      </c>
    </row>
    <row r="86" spans="16:16" x14ac:dyDescent="0.3">
      <c r="P86" s="3">
        <v>0</v>
      </c>
    </row>
    <row r="87" spans="16:16" x14ac:dyDescent="0.3">
      <c r="P87" s="4">
        <v>0</v>
      </c>
    </row>
    <row r="88" spans="16:16" x14ac:dyDescent="0.3">
      <c r="P88" s="3">
        <v>0</v>
      </c>
    </row>
    <row r="89" spans="16:16" x14ac:dyDescent="0.3">
      <c r="P89" s="4">
        <v>0</v>
      </c>
    </row>
    <row r="90" spans="16:16" x14ac:dyDescent="0.3">
      <c r="P90" s="3">
        <v>0</v>
      </c>
    </row>
    <row r="91" spans="16:16" x14ac:dyDescent="0.3">
      <c r="P91" s="4">
        <v>0</v>
      </c>
    </row>
    <row r="92" spans="16:16" x14ac:dyDescent="0.3">
      <c r="P92" s="3">
        <v>0</v>
      </c>
    </row>
    <row r="93" spans="16:16" x14ac:dyDescent="0.3">
      <c r="P93" s="4">
        <v>0</v>
      </c>
    </row>
    <row r="94" spans="16:16" x14ac:dyDescent="0.3">
      <c r="P94" s="3">
        <v>0</v>
      </c>
    </row>
    <row r="95" spans="16:16" x14ac:dyDescent="0.3">
      <c r="P95" s="4">
        <v>0</v>
      </c>
    </row>
    <row r="96" spans="16:16" x14ac:dyDescent="0.3">
      <c r="P96" s="3">
        <v>0</v>
      </c>
    </row>
    <row r="97" spans="16:16" x14ac:dyDescent="0.3">
      <c r="P97" s="4">
        <v>0</v>
      </c>
    </row>
    <row r="98" spans="16:16" x14ac:dyDescent="0.3">
      <c r="P98" s="3">
        <v>0</v>
      </c>
    </row>
    <row r="99" spans="16:16" x14ac:dyDescent="0.3">
      <c r="P99" s="4">
        <v>0</v>
      </c>
    </row>
    <row r="100" spans="16:16" x14ac:dyDescent="0.3">
      <c r="P100" s="3">
        <v>0</v>
      </c>
    </row>
    <row r="101" spans="16:16" x14ac:dyDescent="0.3">
      <c r="P101" s="4">
        <v>0</v>
      </c>
    </row>
    <row r="102" spans="16:16" x14ac:dyDescent="0.3">
      <c r="P102" s="3">
        <v>0</v>
      </c>
    </row>
    <row r="103" spans="16:16" x14ac:dyDescent="0.3">
      <c r="P103" s="4">
        <v>0.1</v>
      </c>
    </row>
    <row r="104" spans="16:16" x14ac:dyDescent="0.3">
      <c r="P104" s="3">
        <v>0.2</v>
      </c>
    </row>
    <row r="105" spans="16:16" x14ac:dyDescent="0.3">
      <c r="P105" s="4">
        <v>0.25</v>
      </c>
    </row>
    <row r="106" spans="16:16" x14ac:dyDescent="0.3">
      <c r="P106" s="3">
        <v>0.25</v>
      </c>
    </row>
    <row r="107" spans="16:16" x14ac:dyDescent="0.3">
      <c r="P107" s="4">
        <v>0.3</v>
      </c>
    </row>
    <row r="108" spans="16:16" x14ac:dyDescent="0.3">
      <c r="P108" s="3">
        <v>0.3</v>
      </c>
    </row>
    <row r="109" spans="16:16" x14ac:dyDescent="0.3">
      <c r="P109" s="4">
        <v>0.4</v>
      </c>
    </row>
    <row r="110" spans="16:16" x14ac:dyDescent="0.3">
      <c r="P110" s="3">
        <v>0.5</v>
      </c>
    </row>
    <row r="111" spans="16:16" x14ac:dyDescent="0.3">
      <c r="P111" s="4">
        <v>0.5</v>
      </c>
    </row>
    <row r="112" spans="16:16" x14ac:dyDescent="0.3">
      <c r="P112" s="3">
        <v>0.5</v>
      </c>
    </row>
    <row r="113" spans="16:16" x14ac:dyDescent="0.3">
      <c r="P113" s="4">
        <v>0.5</v>
      </c>
    </row>
    <row r="114" spans="16:16" x14ac:dyDescent="0.3">
      <c r="P114" s="3">
        <v>0.5</v>
      </c>
    </row>
    <row r="115" spans="16:16" x14ac:dyDescent="0.3">
      <c r="P115" s="4">
        <v>0.5</v>
      </c>
    </row>
    <row r="116" spans="16:16" x14ac:dyDescent="0.3">
      <c r="P116" s="3">
        <v>0.5</v>
      </c>
    </row>
    <row r="117" spans="16:16" x14ac:dyDescent="0.3">
      <c r="P117" s="4">
        <v>0.5</v>
      </c>
    </row>
    <row r="118" spans="16:16" x14ac:dyDescent="0.3">
      <c r="P118" s="3">
        <v>0.5</v>
      </c>
    </row>
    <row r="119" spans="16:16" x14ac:dyDescent="0.3">
      <c r="P119" s="4">
        <v>0.5</v>
      </c>
    </row>
    <row r="120" spans="16:16" x14ac:dyDescent="0.3">
      <c r="P120" s="3">
        <v>0.5</v>
      </c>
    </row>
    <row r="121" spans="16:16" x14ac:dyDescent="0.3">
      <c r="P121" s="4">
        <v>0.5</v>
      </c>
    </row>
    <row r="122" spans="16:16" x14ac:dyDescent="0.3">
      <c r="P122" s="3">
        <v>0.5</v>
      </c>
    </row>
    <row r="123" spans="16:16" x14ac:dyDescent="0.3">
      <c r="P123" s="4">
        <v>0.5</v>
      </c>
    </row>
    <row r="124" spans="16:16" x14ac:dyDescent="0.3">
      <c r="P124" s="3">
        <v>0.5</v>
      </c>
    </row>
    <row r="125" spans="16:16" x14ac:dyDescent="0.3">
      <c r="P125" s="4">
        <v>0.5</v>
      </c>
    </row>
    <row r="126" spans="16:16" x14ac:dyDescent="0.3">
      <c r="P126" s="3">
        <v>0.5</v>
      </c>
    </row>
    <row r="127" spans="16:16" x14ac:dyDescent="0.3">
      <c r="P127" s="4">
        <v>0.5</v>
      </c>
    </row>
    <row r="128" spans="16:16" x14ac:dyDescent="0.3">
      <c r="P128" s="3">
        <v>0.5</v>
      </c>
    </row>
    <row r="129" spans="16:16" x14ac:dyDescent="0.3">
      <c r="P129" s="4">
        <v>0.5</v>
      </c>
    </row>
    <row r="130" spans="16:16" x14ac:dyDescent="0.3">
      <c r="P130" s="3">
        <v>0.5</v>
      </c>
    </row>
    <row r="131" spans="16:16" x14ac:dyDescent="0.3">
      <c r="P131" s="4">
        <v>0.8</v>
      </c>
    </row>
    <row r="132" spans="16:16" x14ac:dyDescent="0.3">
      <c r="P132" s="3">
        <v>0.9</v>
      </c>
    </row>
    <row r="133" spans="16:16" x14ac:dyDescent="0.3">
      <c r="P133" s="4">
        <v>1</v>
      </c>
    </row>
    <row r="134" spans="16:16" x14ac:dyDescent="0.3">
      <c r="P134" s="3">
        <v>1</v>
      </c>
    </row>
    <row r="135" spans="16:16" x14ac:dyDescent="0.3">
      <c r="P135" s="4">
        <v>1</v>
      </c>
    </row>
    <row r="136" spans="16:16" x14ac:dyDescent="0.3">
      <c r="P136" s="3">
        <v>1</v>
      </c>
    </row>
    <row r="137" spans="16:16" x14ac:dyDescent="0.3">
      <c r="P137" s="4">
        <v>1</v>
      </c>
    </row>
    <row r="138" spans="16:16" x14ac:dyDescent="0.3">
      <c r="P138" s="3">
        <v>1</v>
      </c>
    </row>
    <row r="139" spans="16:16" x14ac:dyDescent="0.3">
      <c r="P139" s="4">
        <v>1</v>
      </c>
    </row>
    <row r="140" spans="16:16" x14ac:dyDescent="0.3">
      <c r="P140" s="3">
        <v>1</v>
      </c>
    </row>
    <row r="141" spans="16:16" x14ac:dyDescent="0.3">
      <c r="P141" s="4">
        <v>1</v>
      </c>
    </row>
    <row r="142" spans="16:16" x14ac:dyDescent="0.3">
      <c r="P142" s="3">
        <v>1</v>
      </c>
    </row>
    <row r="143" spans="16:16" x14ac:dyDescent="0.3">
      <c r="P143" s="4">
        <v>1</v>
      </c>
    </row>
    <row r="144" spans="16:16" x14ac:dyDescent="0.3">
      <c r="P144" s="3">
        <v>1</v>
      </c>
    </row>
    <row r="145" spans="16:16" x14ac:dyDescent="0.3">
      <c r="P145" s="4">
        <v>1</v>
      </c>
    </row>
    <row r="146" spans="16:16" x14ac:dyDescent="0.3">
      <c r="P146" s="3">
        <v>1</v>
      </c>
    </row>
    <row r="147" spans="16:16" x14ac:dyDescent="0.3">
      <c r="P147" s="4">
        <v>1</v>
      </c>
    </row>
    <row r="148" spans="16:16" x14ac:dyDescent="0.3">
      <c r="P148" s="3">
        <v>1</v>
      </c>
    </row>
    <row r="149" spans="16:16" x14ac:dyDescent="0.3">
      <c r="P149" s="4">
        <v>1</v>
      </c>
    </row>
    <row r="150" spans="16:16" x14ac:dyDescent="0.3">
      <c r="P150" s="3">
        <v>1</v>
      </c>
    </row>
    <row r="151" spans="16:16" x14ac:dyDescent="0.3">
      <c r="P151" s="4">
        <v>1</v>
      </c>
    </row>
    <row r="152" spans="16:16" x14ac:dyDescent="0.3">
      <c r="P152" s="3">
        <v>1</v>
      </c>
    </row>
    <row r="153" spans="16:16" x14ac:dyDescent="0.3">
      <c r="P153" s="4">
        <v>1</v>
      </c>
    </row>
    <row r="154" spans="16:16" x14ac:dyDescent="0.3">
      <c r="P154" s="3">
        <v>1</v>
      </c>
    </row>
    <row r="155" spans="16:16" x14ac:dyDescent="0.3">
      <c r="P155" s="4">
        <v>1</v>
      </c>
    </row>
    <row r="156" spans="16:16" x14ac:dyDescent="0.3">
      <c r="P156" s="3">
        <v>1</v>
      </c>
    </row>
    <row r="157" spans="16:16" x14ac:dyDescent="0.3">
      <c r="P157" s="4">
        <v>1</v>
      </c>
    </row>
    <row r="158" spans="16:16" x14ac:dyDescent="0.3">
      <c r="P158" s="3">
        <v>1</v>
      </c>
    </row>
    <row r="159" spans="16:16" x14ac:dyDescent="0.3">
      <c r="P159" s="4">
        <v>1</v>
      </c>
    </row>
    <row r="160" spans="16:16" x14ac:dyDescent="0.3">
      <c r="P160" s="3">
        <v>1</v>
      </c>
    </row>
    <row r="161" spans="16:16" x14ac:dyDescent="0.3">
      <c r="P161" s="4">
        <v>1</v>
      </c>
    </row>
    <row r="162" spans="16:16" x14ac:dyDescent="0.3">
      <c r="P162" s="3">
        <v>1</v>
      </c>
    </row>
    <row r="163" spans="16:16" x14ac:dyDescent="0.3">
      <c r="P163" s="4">
        <v>1</v>
      </c>
    </row>
    <row r="164" spans="16:16" x14ac:dyDescent="0.3">
      <c r="P164" s="3">
        <v>1</v>
      </c>
    </row>
    <row r="165" spans="16:16" x14ac:dyDescent="0.3">
      <c r="P165" s="4">
        <v>1</v>
      </c>
    </row>
    <row r="166" spans="16:16" x14ac:dyDescent="0.3">
      <c r="P166" s="3">
        <v>1</v>
      </c>
    </row>
    <row r="167" spans="16:16" x14ac:dyDescent="0.3">
      <c r="P167" s="4">
        <v>1</v>
      </c>
    </row>
    <row r="168" spans="16:16" x14ac:dyDescent="0.3">
      <c r="P168" s="3">
        <v>1</v>
      </c>
    </row>
    <row r="169" spans="16:16" x14ac:dyDescent="0.3">
      <c r="P169" s="4">
        <v>1</v>
      </c>
    </row>
    <row r="170" spans="16:16" x14ac:dyDescent="0.3">
      <c r="P170" s="3">
        <v>1</v>
      </c>
    </row>
    <row r="171" spans="16:16" x14ac:dyDescent="0.3">
      <c r="P171" s="4">
        <v>1</v>
      </c>
    </row>
    <row r="172" spans="16:16" x14ac:dyDescent="0.3">
      <c r="P172" s="3">
        <v>1</v>
      </c>
    </row>
    <row r="173" spans="16:16" x14ac:dyDescent="0.3">
      <c r="P173" s="4">
        <v>1</v>
      </c>
    </row>
    <row r="174" spans="16:16" x14ac:dyDescent="0.3">
      <c r="P174" s="3">
        <v>1</v>
      </c>
    </row>
    <row r="175" spans="16:16" x14ac:dyDescent="0.3">
      <c r="P175" s="4">
        <v>1</v>
      </c>
    </row>
    <row r="176" spans="16:16" x14ac:dyDescent="0.3">
      <c r="P176" s="3">
        <v>1</v>
      </c>
    </row>
    <row r="177" spans="16:16" x14ac:dyDescent="0.3">
      <c r="P177" s="4">
        <v>1</v>
      </c>
    </row>
    <row r="178" spans="16:16" x14ac:dyDescent="0.3">
      <c r="P178" s="3">
        <v>1</v>
      </c>
    </row>
    <row r="179" spans="16:16" x14ac:dyDescent="0.3">
      <c r="P179" s="4">
        <v>1</v>
      </c>
    </row>
    <row r="180" spans="16:16" x14ac:dyDescent="0.3">
      <c r="P180" s="3">
        <v>1</v>
      </c>
    </row>
    <row r="181" spans="16:16" x14ac:dyDescent="0.3">
      <c r="P181" s="4">
        <v>1</v>
      </c>
    </row>
    <row r="182" spans="16:16" x14ac:dyDescent="0.3">
      <c r="P182" s="3">
        <v>1</v>
      </c>
    </row>
    <row r="183" spans="16:16" x14ac:dyDescent="0.3">
      <c r="P183" s="4">
        <v>1</v>
      </c>
    </row>
    <row r="184" spans="16:16" x14ac:dyDescent="0.3">
      <c r="P184" s="3">
        <v>1</v>
      </c>
    </row>
    <row r="185" spans="16:16" x14ac:dyDescent="0.3">
      <c r="P185" s="4">
        <v>1</v>
      </c>
    </row>
    <row r="186" spans="16:16" x14ac:dyDescent="0.3">
      <c r="P186" s="3">
        <v>1</v>
      </c>
    </row>
    <row r="187" spans="16:16" x14ac:dyDescent="0.3">
      <c r="P187" s="4">
        <v>1</v>
      </c>
    </row>
    <row r="188" spans="16:16" x14ac:dyDescent="0.3">
      <c r="P188" s="3">
        <v>1</v>
      </c>
    </row>
    <row r="189" spans="16:16" x14ac:dyDescent="0.3">
      <c r="P189" s="4">
        <v>1</v>
      </c>
    </row>
    <row r="190" spans="16:16" x14ac:dyDescent="0.3">
      <c r="P190" s="3">
        <v>1</v>
      </c>
    </row>
    <row r="191" spans="16:16" x14ac:dyDescent="0.3">
      <c r="P191" s="4">
        <v>1</v>
      </c>
    </row>
    <row r="192" spans="16:16" x14ac:dyDescent="0.3">
      <c r="P192" s="3">
        <v>1</v>
      </c>
    </row>
    <row r="193" spans="16:16" x14ac:dyDescent="0.3">
      <c r="P193" s="4">
        <v>1</v>
      </c>
    </row>
    <row r="194" spans="16:16" x14ac:dyDescent="0.3">
      <c r="P194" s="3">
        <v>1</v>
      </c>
    </row>
    <row r="195" spans="16:16" x14ac:dyDescent="0.3">
      <c r="P195" s="4">
        <v>1</v>
      </c>
    </row>
    <row r="196" spans="16:16" x14ac:dyDescent="0.3">
      <c r="P196" s="3">
        <v>1</v>
      </c>
    </row>
    <row r="197" spans="16:16" x14ac:dyDescent="0.3">
      <c r="P197" s="4">
        <v>1</v>
      </c>
    </row>
    <row r="198" spans="16:16" x14ac:dyDescent="0.3">
      <c r="P198" s="3">
        <v>1</v>
      </c>
    </row>
    <row r="199" spans="16:16" x14ac:dyDescent="0.3">
      <c r="P199" s="4">
        <v>1</v>
      </c>
    </row>
    <row r="200" spans="16:16" x14ac:dyDescent="0.3">
      <c r="P200" s="3">
        <v>1</v>
      </c>
    </row>
    <row r="201" spans="16:16" x14ac:dyDescent="0.3">
      <c r="P201" s="4">
        <v>1</v>
      </c>
    </row>
    <row r="202" spans="16:16" x14ac:dyDescent="0.3">
      <c r="P202" s="3">
        <v>1</v>
      </c>
    </row>
    <row r="203" spans="16:16" x14ac:dyDescent="0.3">
      <c r="P203" s="4">
        <v>1</v>
      </c>
    </row>
    <row r="204" spans="16:16" x14ac:dyDescent="0.3">
      <c r="P204" s="3">
        <v>1</v>
      </c>
    </row>
    <row r="205" spans="16:16" x14ac:dyDescent="0.3">
      <c r="P205" s="4">
        <v>1</v>
      </c>
    </row>
    <row r="206" spans="16:16" x14ac:dyDescent="0.3">
      <c r="P206" s="3">
        <v>1</v>
      </c>
    </row>
    <row r="207" spans="16:16" x14ac:dyDescent="0.3">
      <c r="P207" s="4">
        <v>1</v>
      </c>
    </row>
    <row r="208" spans="16:16" x14ac:dyDescent="0.3">
      <c r="P208" s="3">
        <v>1</v>
      </c>
    </row>
    <row r="209" spans="16:16" x14ac:dyDescent="0.3">
      <c r="P209" s="4">
        <v>1</v>
      </c>
    </row>
    <row r="210" spans="16:16" x14ac:dyDescent="0.3">
      <c r="P210" s="3">
        <v>1</v>
      </c>
    </row>
    <row r="211" spans="16:16" x14ac:dyDescent="0.3">
      <c r="P211" s="4">
        <v>1</v>
      </c>
    </row>
    <row r="212" spans="16:16" x14ac:dyDescent="0.3">
      <c r="P212" s="3">
        <v>1</v>
      </c>
    </row>
    <row r="213" spans="16:16" x14ac:dyDescent="0.3">
      <c r="P213" s="4">
        <v>1</v>
      </c>
    </row>
    <row r="214" spans="16:16" x14ac:dyDescent="0.3">
      <c r="P214" s="3">
        <v>1</v>
      </c>
    </row>
    <row r="215" spans="16:16" x14ac:dyDescent="0.3">
      <c r="P215" s="4">
        <v>1</v>
      </c>
    </row>
    <row r="216" spans="16:16" x14ac:dyDescent="0.3">
      <c r="P216" s="3">
        <v>1</v>
      </c>
    </row>
    <row r="217" spans="16:16" x14ac:dyDescent="0.3">
      <c r="P217" s="4">
        <v>1</v>
      </c>
    </row>
    <row r="218" spans="16:16" x14ac:dyDescent="0.3">
      <c r="P218" s="3">
        <v>1</v>
      </c>
    </row>
    <row r="219" spans="16:16" x14ac:dyDescent="0.3">
      <c r="P219" s="4">
        <v>1</v>
      </c>
    </row>
    <row r="220" spans="16:16" x14ac:dyDescent="0.3">
      <c r="P220" s="3">
        <v>1</v>
      </c>
    </row>
    <row r="221" spans="16:16" x14ac:dyDescent="0.3">
      <c r="P221" s="4">
        <v>1</v>
      </c>
    </row>
    <row r="222" spans="16:16" x14ac:dyDescent="0.3">
      <c r="P222" s="3">
        <v>1</v>
      </c>
    </row>
    <row r="223" spans="16:16" x14ac:dyDescent="0.3">
      <c r="P223" s="4">
        <v>1</v>
      </c>
    </row>
    <row r="224" spans="16:16" x14ac:dyDescent="0.3">
      <c r="P224" s="3">
        <v>1</v>
      </c>
    </row>
    <row r="225" spans="16:16" x14ac:dyDescent="0.3">
      <c r="P225" s="4">
        <v>1</v>
      </c>
    </row>
    <row r="226" spans="16:16" x14ac:dyDescent="0.3">
      <c r="P226" s="3">
        <v>1</v>
      </c>
    </row>
    <row r="227" spans="16:16" x14ac:dyDescent="0.3">
      <c r="P227" s="4">
        <v>1</v>
      </c>
    </row>
    <row r="228" spans="16:16" x14ac:dyDescent="0.3">
      <c r="P228" s="3">
        <v>1</v>
      </c>
    </row>
    <row r="229" spans="16:16" x14ac:dyDescent="0.3">
      <c r="P229" s="4">
        <v>1</v>
      </c>
    </row>
    <row r="230" spans="16:16" x14ac:dyDescent="0.3">
      <c r="P230" s="3">
        <v>1</v>
      </c>
    </row>
    <row r="231" spans="16:16" x14ac:dyDescent="0.3">
      <c r="P231" s="4">
        <v>1</v>
      </c>
    </row>
    <row r="232" spans="16:16" x14ac:dyDescent="0.3">
      <c r="P232" s="3">
        <v>1</v>
      </c>
    </row>
    <row r="233" spans="16:16" x14ac:dyDescent="0.3">
      <c r="P233" s="4">
        <v>1</v>
      </c>
    </row>
    <row r="234" spans="16:16" x14ac:dyDescent="0.3">
      <c r="P234" s="3">
        <v>1</v>
      </c>
    </row>
    <row r="235" spans="16:16" x14ac:dyDescent="0.3">
      <c r="P235" s="4">
        <v>1</v>
      </c>
    </row>
    <row r="236" spans="16:16" x14ac:dyDescent="0.3">
      <c r="P236" s="3">
        <v>1</v>
      </c>
    </row>
    <row r="237" spans="16:16" x14ac:dyDescent="0.3">
      <c r="P237" s="4">
        <v>1</v>
      </c>
    </row>
    <row r="238" spans="16:16" x14ac:dyDescent="0.3">
      <c r="P238" s="3">
        <v>1</v>
      </c>
    </row>
    <row r="239" spans="16:16" x14ac:dyDescent="0.3">
      <c r="P239" s="4">
        <v>1</v>
      </c>
    </row>
    <row r="240" spans="16:16" x14ac:dyDescent="0.3">
      <c r="P240" s="3">
        <v>1</v>
      </c>
    </row>
    <row r="241" spans="16:16" x14ac:dyDescent="0.3">
      <c r="P241" s="4">
        <v>1</v>
      </c>
    </row>
    <row r="242" spans="16:16" x14ac:dyDescent="0.3">
      <c r="P242" s="3">
        <v>1</v>
      </c>
    </row>
    <row r="243" spans="16:16" x14ac:dyDescent="0.3">
      <c r="P243" s="4">
        <v>1</v>
      </c>
    </row>
    <row r="244" spans="16:16" x14ac:dyDescent="0.3">
      <c r="P244" s="3">
        <v>1</v>
      </c>
    </row>
    <row r="245" spans="16:16" x14ac:dyDescent="0.3">
      <c r="P245" s="4">
        <v>1</v>
      </c>
    </row>
    <row r="246" spans="16:16" x14ac:dyDescent="0.3">
      <c r="P246" s="3">
        <v>1</v>
      </c>
    </row>
    <row r="247" spans="16:16" x14ac:dyDescent="0.3">
      <c r="P247" s="4">
        <v>1</v>
      </c>
    </row>
    <row r="248" spans="16:16" x14ac:dyDescent="0.3">
      <c r="P248" s="3">
        <v>1</v>
      </c>
    </row>
    <row r="249" spans="16:16" x14ac:dyDescent="0.3">
      <c r="P249" s="4">
        <v>1</v>
      </c>
    </row>
    <row r="250" spans="16:16" x14ac:dyDescent="0.3">
      <c r="P250" s="3">
        <v>1</v>
      </c>
    </row>
    <row r="251" spans="16:16" x14ac:dyDescent="0.3">
      <c r="P251" s="4">
        <v>1</v>
      </c>
    </row>
    <row r="252" spans="16:16" x14ac:dyDescent="0.3">
      <c r="P252" s="3">
        <v>1</v>
      </c>
    </row>
    <row r="253" spans="16:16" x14ac:dyDescent="0.3">
      <c r="P253" s="4">
        <v>1</v>
      </c>
    </row>
    <row r="254" spans="16:16" x14ac:dyDescent="0.3">
      <c r="P254" s="3">
        <v>1</v>
      </c>
    </row>
    <row r="255" spans="16:16" x14ac:dyDescent="0.3">
      <c r="P255" s="4">
        <v>1</v>
      </c>
    </row>
    <row r="256" spans="16:16" x14ac:dyDescent="0.3">
      <c r="P256" s="3">
        <v>1</v>
      </c>
    </row>
    <row r="257" spans="16:16" x14ac:dyDescent="0.3">
      <c r="P257" s="4">
        <v>1</v>
      </c>
    </row>
    <row r="258" spans="16:16" x14ac:dyDescent="0.3">
      <c r="P258" s="3">
        <v>1</v>
      </c>
    </row>
    <row r="259" spans="16:16" x14ac:dyDescent="0.3">
      <c r="P259" s="4">
        <v>1</v>
      </c>
    </row>
    <row r="260" spans="16:16" x14ac:dyDescent="0.3">
      <c r="P260" s="3">
        <v>1</v>
      </c>
    </row>
    <row r="261" spans="16:16" x14ac:dyDescent="0.3">
      <c r="P261" s="4">
        <v>1</v>
      </c>
    </row>
    <row r="262" spans="16:16" x14ac:dyDescent="0.3">
      <c r="P262" s="3">
        <v>1</v>
      </c>
    </row>
    <row r="263" spans="16:16" x14ac:dyDescent="0.3">
      <c r="P263" s="4">
        <v>1</v>
      </c>
    </row>
    <row r="264" spans="16:16" x14ac:dyDescent="0.3">
      <c r="P264" s="3">
        <v>1</v>
      </c>
    </row>
    <row r="265" spans="16:16" x14ac:dyDescent="0.3">
      <c r="P265" s="4">
        <v>1</v>
      </c>
    </row>
    <row r="266" spans="16:16" x14ac:dyDescent="0.3">
      <c r="P266" s="3">
        <v>1</v>
      </c>
    </row>
    <row r="267" spans="16:16" x14ac:dyDescent="0.3">
      <c r="P267" s="4">
        <v>1</v>
      </c>
    </row>
    <row r="268" spans="16:16" x14ac:dyDescent="0.3">
      <c r="P268" s="3">
        <v>1</v>
      </c>
    </row>
    <row r="269" spans="16:16" x14ac:dyDescent="0.3">
      <c r="P269" s="4">
        <v>1</v>
      </c>
    </row>
    <row r="270" spans="16:16" x14ac:dyDescent="0.3">
      <c r="P270" s="3">
        <v>1</v>
      </c>
    </row>
    <row r="271" spans="16:16" x14ac:dyDescent="0.3">
      <c r="P271" s="4">
        <v>1</v>
      </c>
    </row>
    <row r="272" spans="16:16" x14ac:dyDescent="0.3">
      <c r="P272" s="3">
        <v>1</v>
      </c>
    </row>
    <row r="273" spans="16:16" x14ac:dyDescent="0.3">
      <c r="P273" s="4">
        <v>1</v>
      </c>
    </row>
    <row r="274" spans="16:16" x14ac:dyDescent="0.3">
      <c r="P274" s="3">
        <v>1</v>
      </c>
    </row>
    <row r="275" spans="16:16" x14ac:dyDescent="0.3">
      <c r="P275" s="4">
        <v>1</v>
      </c>
    </row>
    <row r="276" spans="16:16" x14ac:dyDescent="0.3">
      <c r="P276" s="3">
        <v>1</v>
      </c>
    </row>
    <row r="277" spans="16:16" x14ac:dyDescent="0.3">
      <c r="P277" s="4">
        <v>1</v>
      </c>
    </row>
    <row r="278" spans="16:16" x14ac:dyDescent="0.3">
      <c r="P278" s="3">
        <v>1</v>
      </c>
    </row>
    <row r="279" spans="16:16" x14ac:dyDescent="0.3">
      <c r="P279" s="4">
        <v>1</v>
      </c>
    </row>
    <row r="280" spans="16:16" x14ac:dyDescent="0.3">
      <c r="P280" s="3">
        <v>1</v>
      </c>
    </row>
    <row r="281" spans="16:16" x14ac:dyDescent="0.3">
      <c r="P281" s="4">
        <v>1</v>
      </c>
    </row>
    <row r="282" spans="16:16" x14ac:dyDescent="0.3">
      <c r="P282" s="3">
        <v>1</v>
      </c>
    </row>
    <row r="283" spans="16:16" x14ac:dyDescent="0.3">
      <c r="P283" s="4">
        <v>1</v>
      </c>
    </row>
    <row r="284" spans="16:16" x14ac:dyDescent="0.3">
      <c r="P284" s="3">
        <v>1</v>
      </c>
    </row>
    <row r="285" spans="16:16" x14ac:dyDescent="0.3">
      <c r="P285" s="4">
        <v>1</v>
      </c>
    </row>
    <row r="286" spans="16:16" x14ac:dyDescent="0.3">
      <c r="P286" s="3">
        <v>1</v>
      </c>
    </row>
    <row r="287" spans="16:16" x14ac:dyDescent="0.3">
      <c r="P287" s="4">
        <v>1</v>
      </c>
    </row>
    <row r="288" spans="16:16" x14ac:dyDescent="0.3">
      <c r="P288" s="3">
        <v>1</v>
      </c>
    </row>
    <row r="289" spans="16:16" x14ac:dyDescent="0.3">
      <c r="P289" s="4">
        <v>1</v>
      </c>
    </row>
    <row r="290" spans="16:16" x14ac:dyDescent="0.3">
      <c r="P290" s="3">
        <v>1</v>
      </c>
    </row>
    <row r="291" spans="16:16" x14ac:dyDescent="0.3">
      <c r="P291" s="4">
        <v>1</v>
      </c>
    </row>
    <row r="292" spans="16:16" x14ac:dyDescent="0.3">
      <c r="P292" s="3">
        <v>1</v>
      </c>
    </row>
    <row r="293" spans="16:16" x14ac:dyDescent="0.3">
      <c r="P293" s="4">
        <v>1</v>
      </c>
    </row>
    <row r="294" spans="16:16" x14ac:dyDescent="0.3">
      <c r="P294" s="3">
        <v>1</v>
      </c>
    </row>
    <row r="295" spans="16:16" x14ac:dyDescent="0.3">
      <c r="P295" s="4">
        <v>1</v>
      </c>
    </row>
    <row r="296" spans="16:16" x14ac:dyDescent="0.3">
      <c r="P296" s="3">
        <v>1</v>
      </c>
    </row>
    <row r="297" spans="16:16" x14ac:dyDescent="0.3">
      <c r="P297" s="4">
        <v>1</v>
      </c>
    </row>
    <row r="298" spans="16:16" x14ac:dyDescent="0.3">
      <c r="P298" s="3">
        <v>1</v>
      </c>
    </row>
    <row r="299" spans="16:16" x14ac:dyDescent="0.3">
      <c r="P299" s="4">
        <v>1</v>
      </c>
    </row>
    <row r="300" spans="16:16" x14ac:dyDescent="0.3">
      <c r="P300" s="3">
        <v>1</v>
      </c>
    </row>
    <row r="301" spans="16:16" x14ac:dyDescent="0.3">
      <c r="P301" s="4">
        <v>1</v>
      </c>
    </row>
    <row r="302" spans="16:16" x14ac:dyDescent="0.3">
      <c r="P302" s="3">
        <v>1</v>
      </c>
    </row>
    <row r="303" spans="16:16" x14ac:dyDescent="0.3">
      <c r="P303" s="4">
        <v>1</v>
      </c>
    </row>
    <row r="304" spans="16:16" x14ac:dyDescent="0.3">
      <c r="P304" s="3">
        <v>1</v>
      </c>
    </row>
    <row r="305" spans="16:16" x14ac:dyDescent="0.3">
      <c r="P305" s="4">
        <v>1</v>
      </c>
    </row>
    <row r="306" spans="16:16" x14ac:dyDescent="0.3">
      <c r="P306" s="3">
        <v>1</v>
      </c>
    </row>
    <row r="307" spans="16:16" x14ac:dyDescent="0.3">
      <c r="P307" s="4">
        <v>1</v>
      </c>
    </row>
    <row r="308" spans="16:16" x14ac:dyDescent="0.3">
      <c r="P308" s="3">
        <v>1</v>
      </c>
    </row>
    <row r="309" spans="16:16" x14ac:dyDescent="0.3">
      <c r="P309" s="4">
        <v>1</v>
      </c>
    </row>
    <row r="310" spans="16:16" x14ac:dyDescent="0.3">
      <c r="P310" s="3">
        <v>1</v>
      </c>
    </row>
    <row r="311" spans="16:16" x14ac:dyDescent="0.3">
      <c r="P311" s="4">
        <v>1</v>
      </c>
    </row>
    <row r="312" spans="16:16" x14ac:dyDescent="0.3">
      <c r="P312" s="3">
        <v>1</v>
      </c>
    </row>
    <row r="313" spans="16:16" x14ac:dyDescent="0.3">
      <c r="P313" s="4">
        <v>1</v>
      </c>
    </row>
    <row r="314" spans="16:16" x14ac:dyDescent="0.3">
      <c r="P314" s="3">
        <v>1</v>
      </c>
    </row>
    <row r="315" spans="16:16" x14ac:dyDescent="0.3">
      <c r="P315" s="4">
        <v>1</v>
      </c>
    </row>
    <row r="316" spans="16:16" x14ac:dyDescent="0.3">
      <c r="P316" s="3">
        <v>1</v>
      </c>
    </row>
    <row r="317" spans="16:16" x14ac:dyDescent="0.3">
      <c r="P317" s="4">
        <v>1</v>
      </c>
    </row>
    <row r="318" spans="16:16" x14ac:dyDescent="0.3">
      <c r="P318" s="3">
        <v>1</v>
      </c>
    </row>
    <row r="319" spans="16:16" x14ac:dyDescent="0.3">
      <c r="P319" s="4">
        <v>1</v>
      </c>
    </row>
    <row r="320" spans="16:16" x14ac:dyDescent="0.3">
      <c r="P320" s="3">
        <v>1</v>
      </c>
    </row>
    <row r="321" spans="16:16" x14ac:dyDescent="0.3">
      <c r="P321" s="4">
        <v>1</v>
      </c>
    </row>
    <row r="322" spans="16:16" x14ac:dyDescent="0.3">
      <c r="P322" s="3">
        <v>1.5</v>
      </c>
    </row>
    <row r="323" spans="16:16" x14ac:dyDescent="0.3">
      <c r="P323" s="4">
        <v>1.5</v>
      </c>
    </row>
    <row r="324" spans="16:16" x14ac:dyDescent="0.3">
      <c r="P324" s="3">
        <v>1.5</v>
      </c>
    </row>
    <row r="325" spans="16:16" x14ac:dyDescent="0.3">
      <c r="P325" s="4">
        <v>1.5</v>
      </c>
    </row>
    <row r="326" spans="16:16" x14ac:dyDescent="0.3">
      <c r="P326" s="3">
        <v>1.5</v>
      </c>
    </row>
    <row r="327" spans="16:16" x14ac:dyDescent="0.3">
      <c r="P327" s="4">
        <v>1.5</v>
      </c>
    </row>
    <row r="328" spans="16:16" x14ac:dyDescent="0.3">
      <c r="P328" s="3">
        <v>1.5</v>
      </c>
    </row>
    <row r="329" spans="16:16" x14ac:dyDescent="0.3">
      <c r="P329" s="4">
        <v>1.5</v>
      </c>
    </row>
    <row r="330" spans="16:16" x14ac:dyDescent="0.3">
      <c r="P330" s="3">
        <v>1.5</v>
      </c>
    </row>
    <row r="331" spans="16:16" x14ac:dyDescent="0.3">
      <c r="P331" s="4">
        <v>1.5</v>
      </c>
    </row>
    <row r="332" spans="16:16" x14ac:dyDescent="0.3">
      <c r="P332" s="3">
        <v>1.5</v>
      </c>
    </row>
    <row r="333" spans="16:16" x14ac:dyDescent="0.3">
      <c r="P333" s="4">
        <v>1.5</v>
      </c>
    </row>
    <row r="334" spans="16:16" x14ac:dyDescent="0.3">
      <c r="P334" s="3">
        <v>1.5</v>
      </c>
    </row>
    <row r="335" spans="16:16" x14ac:dyDescent="0.3">
      <c r="P335" s="4">
        <v>1.5</v>
      </c>
    </row>
    <row r="336" spans="16:16" x14ac:dyDescent="0.3">
      <c r="P336" s="3">
        <v>1.5</v>
      </c>
    </row>
    <row r="337" spans="16:16" x14ac:dyDescent="0.3">
      <c r="P337" s="4">
        <v>1.5</v>
      </c>
    </row>
    <row r="338" spans="16:16" x14ac:dyDescent="0.3">
      <c r="P338" s="3">
        <v>1.5</v>
      </c>
    </row>
    <row r="339" spans="16:16" x14ac:dyDescent="0.3">
      <c r="P339" s="4">
        <v>1.5</v>
      </c>
    </row>
    <row r="340" spans="16:16" x14ac:dyDescent="0.3">
      <c r="P340" s="3">
        <v>1.5</v>
      </c>
    </row>
    <row r="341" spans="16:16" x14ac:dyDescent="0.3">
      <c r="P341" s="4">
        <v>1.5</v>
      </c>
    </row>
    <row r="342" spans="16:16" x14ac:dyDescent="0.3">
      <c r="P342" s="3">
        <v>1.5</v>
      </c>
    </row>
    <row r="343" spans="16:16" x14ac:dyDescent="0.3">
      <c r="P343" s="4">
        <v>1.5</v>
      </c>
    </row>
    <row r="344" spans="16:16" x14ac:dyDescent="0.3">
      <c r="P344" s="3">
        <v>1.5</v>
      </c>
    </row>
    <row r="345" spans="16:16" x14ac:dyDescent="0.3">
      <c r="P345" s="4">
        <v>1.5</v>
      </c>
    </row>
    <row r="346" spans="16:16" x14ac:dyDescent="0.3">
      <c r="P346" s="3">
        <v>1.5</v>
      </c>
    </row>
    <row r="347" spans="16:16" x14ac:dyDescent="0.3">
      <c r="P347" s="4">
        <v>1.5</v>
      </c>
    </row>
    <row r="348" spans="16:16" x14ac:dyDescent="0.3">
      <c r="P348" s="3">
        <v>1.5</v>
      </c>
    </row>
    <row r="349" spans="16:16" x14ac:dyDescent="0.3">
      <c r="P349" s="4">
        <v>1.5</v>
      </c>
    </row>
    <row r="350" spans="16:16" x14ac:dyDescent="0.3">
      <c r="P350" s="3">
        <v>1.5</v>
      </c>
    </row>
    <row r="351" spans="16:16" x14ac:dyDescent="0.3">
      <c r="P351" s="4">
        <v>1.7</v>
      </c>
    </row>
    <row r="352" spans="16:16" x14ac:dyDescent="0.3">
      <c r="P352" s="3">
        <v>2</v>
      </c>
    </row>
    <row r="353" spans="16:16" x14ac:dyDescent="0.3">
      <c r="P353" s="4">
        <v>2</v>
      </c>
    </row>
    <row r="354" spans="16:16" x14ac:dyDescent="0.3">
      <c r="P354" s="3">
        <v>2</v>
      </c>
    </row>
    <row r="355" spans="16:16" x14ac:dyDescent="0.3">
      <c r="P355" s="4">
        <v>2</v>
      </c>
    </row>
    <row r="356" spans="16:16" x14ac:dyDescent="0.3">
      <c r="P356" s="3">
        <v>2</v>
      </c>
    </row>
    <row r="357" spans="16:16" x14ac:dyDescent="0.3">
      <c r="P357" s="4">
        <v>2</v>
      </c>
    </row>
    <row r="358" spans="16:16" x14ac:dyDescent="0.3">
      <c r="P358" s="3">
        <v>2</v>
      </c>
    </row>
    <row r="359" spans="16:16" x14ac:dyDescent="0.3">
      <c r="P359" s="4">
        <v>2</v>
      </c>
    </row>
    <row r="360" spans="16:16" x14ac:dyDescent="0.3">
      <c r="P360" s="3">
        <v>2</v>
      </c>
    </row>
    <row r="361" spans="16:16" x14ac:dyDescent="0.3">
      <c r="P361" s="4">
        <v>2</v>
      </c>
    </row>
    <row r="362" spans="16:16" x14ac:dyDescent="0.3">
      <c r="P362" s="3">
        <v>2</v>
      </c>
    </row>
    <row r="363" spans="16:16" x14ac:dyDescent="0.3">
      <c r="P363" s="4">
        <v>2</v>
      </c>
    </row>
    <row r="364" spans="16:16" x14ac:dyDescent="0.3">
      <c r="P364" s="3">
        <v>2</v>
      </c>
    </row>
    <row r="365" spans="16:16" x14ac:dyDescent="0.3">
      <c r="P365" s="4">
        <v>2</v>
      </c>
    </row>
    <row r="366" spans="16:16" x14ac:dyDescent="0.3">
      <c r="P366" s="3">
        <v>2</v>
      </c>
    </row>
    <row r="367" spans="16:16" x14ac:dyDescent="0.3">
      <c r="P367" s="4">
        <v>2</v>
      </c>
    </row>
    <row r="368" spans="16:16" x14ac:dyDescent="0.3">
      <c r="P368" s="3">
        <v>2</v>
      </c>
    </row>
    <row r="369" spans="16:16" x14ac:dyDescent="0.3">
      <c r="P369" s="4">
        <v>2</v>
      </c>
    </row>
    <row r="370" spans="16:16" x14ac:dyDescent="0.3">
      <c r="P370" s="3">
        <v>2</v>
      </c>
    </row>
    <row r="371" spans="16:16" x14ac:dyDescent="0.3">
      <c r="P371" s="4">
        <v>2</v>
      </c>
    </row>
    <row r="372" spans="16:16" x14ac:dyDescent="0.3">
      <c r="P372" s="3">
        <v>2</v>
      </c>
    </row>
    <row r="373" spans="16:16" x14ac:dyDescent="0.3">
      <c r="P373" s="4">
        <v>2</v>
      </c>
    </row>
    <row r="374" spans="16:16" x14ac:dyDescent="0.3">
      <c r="P374" s="3">
        <v>2</v>
      </c>
    </row>
    <row r="375" spans="16:16" x14ac:dyDescent="0.3">
      <c r="P375" s="4">
        <v>2</v>
      </c>
    </row>
    <row r="376" spans="16:16" x14ac:dyDescent="0.3">
      <c r="P376" s="3">
        <v>2</v>
      </c>
    </row>
    <row r="377" spans="16:16" x14ac:dyDescent="0.3">
      <c r="P377" s="4">
        <v>2</v>
      </c>
    </row>
    <row r="378" spans="16:16" x14ac:dyDescent="0.3">
      <c r="P378" s="3">
        <v>2</v>
      </c>
    </row>
    <row r="379" spans="16:16" x14ac:dyDescent="0.3">
      <c r="P379" s="4">
        <v>2</v>
      </c>
    </row>
    <row r="380" spans="16:16" x14ac:dyDescent="0.3">
      <c r="P380" s="3">
        <v>2</v>
      </c>
    </row>
    <row r="381" spans="16:16" x14ac:dyDescent="0.3">
      <c r="P381" s="4">
        <v>2</v>
      </c>
    </row>
    <row r="382" spans="16:16" x14ac:dyDescent="0.3">
      <c r="P382" s="3">
        <v>2</v>
      </c>
    </row>
    <row r="383" spans="16:16" x14ac:dyDescent="0.3">
      <c r="P383" s="4">
        <v>2</v>
      </c>
    </row>
    <row r="384" spans="16:16" x14ac:dyDescent="0.3">
      <c r="P384" s="3">
        <v>2</v>
      </c>
    </row>
    <row r="385" spans="16:16" x14ac:dyDescent="0.3">
      <c r="P385" s="4">
        <v>2</v>
      </c>
    </row>
    <row r="386" spans="16:16" x14ac:dyDescent="0.3">
      <c r="P386" s="3">
        <v>2</v>
      </c>
    </row>
    <row r="387" spans="16:16" x14ac:dyDescent="0.3">
      <c r="P387" s="4">
        <v>2</v>
      </c>
    </row>
    <row r="388" spans="16:16" x14ac:dyDescent="0.3">
      <c r="P388" s="3">
        <v>2</v>
      </c>
    </row>
    <row r="389" spans="16:16" x14ac:dyDescent="0.3">
      <c r="P389" s="4">
        <v>2</v>
      </c>
    </row>
    <row r="390" spans="16:16" x14ac:dyDescent="0.3">
      <c r="P390" s="3">
        <v>2</v>
      </c>
    </row>
    <row r="391" spans="16:16" x14ac:dyDescent="0.3">
      <c r="P391" s="4">
        <v>2</v>
      </c>
    </row>
    <row r="392" spans="16:16" x14ac:dyDescent="0.3">
      <c r="P392" s="3">
        <v>2</v>
      </c>
    </row>
    <row r="393" spans="16:16" x14ac:dyDescent="0.3">
      <c r="P393" s="4">
        <v>2</v>
      </c>
    </row>
    <row r="394" spans="16:16" x14ac:dyDescent="0.3">
      <c r="P394" s="3">
        <v>2</v>
      </c>
    </row>
    <row r="395" spans="16:16" x14ac:dyDescent="0.3">
      <c r="P395" s="4">
        <v>2</v>
      </c>
    </row>
    <row r="396" spans="16:16" x14ac:dyDescent="0.3">
      <c r="P396" s="3">
        <v>2</v>
      </c>
    </row>
    <row r="397" spans="16:16" x14ac:dyDescent="0.3">
      <c r="P397" s="4">
        <v>2</v>
      </c>
    </row>
    <row r="398" spans="16:16" x14ac:dyDescent="0.3">
      <c r="P398" s="3">
        <v>2</v>
      </c>
    </row>
    <row r="399" spans="16:16" x14ac:dyDescent="0.3">
      <c r="P399" s="4">
        <v>2</v>
      </c>
    </row>
    <row r="400" spans="16:16" x14ac:dyDescent="0.3">
      <c r="P400" s="3">
        <v>2</v>
      </c>
    </row>
    <row r="401" spans="16:16" x14ac:dyDescent="0.3">
      <c r="P401" s="4">
        <v>2</v>
      </c>
    </row>
    <row r="402" spans="16:16" x14ac:dyDescent="0.3">
      <c r="P402" s="3">
        <v>2</v>
      </c>
    </row>
    <row r="403" spans="16:16" x14ac:dyDescent="0.3">
      <c r="P403" s="4">
        <v>2</v>
      </c>
    </row>
    <row r="404" spans="16:16" x14ac:dyDescent="0.3">
      <c r="P404" s="3">
        <v>2</v>
      </c>
    </row>
    <row r="405" spans="16:16" x14ac:dyDescent="0.3">
      <c r="P405" s="4">
        <v>2</v>
      </c>
    </row>
    <row r="406" spans="16:16" x14ac:dyDescent="0.3">
      <c r="P406" s="3">
        <v>2</v>
      </c>
    </row>
    <row r="407" spans="16:16" x14ac:dyDescent="0.3">
      <c r="P407" s="4">
        <v>2</v>
      </c>
    </row>
    <row r="408" spans="16:16" x14ac:dyDescent="0.3">
      <c r="P408" s="3">
        <v>2</v>
      </c>
    </row>
    <row r="409" spans="16:16" x14ac:dyDescent="0.3">
      <c r="P409" s="4">
        <v>2</v>
      </c>
    </row>
    <row r="410" spans="16:16" x14ac:dyDescent="0.3">
      <c r="P410" s="3">
        <v>2</v>
      </c>
    </row>
    <row r="411" spans="16:16" x14ac:dyDescent="0.3">
      <c r="P411" s="4">
        <v>2</v>
      </c>
    </row>
    <row r="412" spans="16:16" x14ac:dyDescent="0.3">
      <c r="P412" s="3">
        <v>2</v>
      </c>
    </row>
    <row r="413" spans="16:16" x14ac:dyDescent="0.3">
      <c r="P413" s="4">
        <v>2</v>
      </c>
    </row>
    <row r="414" spans="16:16" x14ac:dyDescent="0.3">
      <c r="P414" s="3">
        <v>2</v>
      </c>
    </row>
    <row r="415" spans="16:16" x14ac:dyDescent="0.3">
      <c r="P415" s="4">
        <v>2</v>
      </c>
    </row>
    <row r="416" spans="16:16" x14ac:dyDescent="0.3">
      <c r="P416" s="3">
        <v>2</v>
      </c>
    </row>
    <row r="417" spans="16:16" x14ac:dyDescent="0.3">
      <c r="P417" s="4">
        <v>2</v>
      </c>
    </row>
    <row r="418" spans="16:16" x14ac:dyDescent="0.3">
      <c r="P418" s="3">
        <v>2</v>
      </c>
    </row>
    <row r="419" spans="16:16" x14ac:dyDescent="0.3">
      <c r="P419" s="4">
        <v>2</v>
      </c>
    </row>
    <row r="420" spans="16:16" x14ac:dyDescent="0.3">
      <c r="P420" s="3">
        <v>2</v>
      </c>
    </row>
    <row r="421" spans="16:16" x14ac:dyDescent="0.3">
      <c r="P421" s="4">
        <v>2</v>
      </c>
    </row>
    <row r="422" spans="16:16" x14ac:dyDescent="0.3">
      <c r="P422" s="3">
        <v>2</v>
      </c>
    </row>
    <row r="423" spans="16:16" x14ac:dyDescent="0.3">
      <c r="P423" s="4">
        <v>2</v>
      </c>
    </row>
    <row r="424" spans="16:16" x14ac:dyDescent="0.3">
      <c r="P424" s="3">
        <v>2</v>
      </c>
    </row>
    <row r="425" spans="16:16" x14ac:dyDescent="0.3">
      <c r="P425" s="4">
        <v>2</v>
      </c>
    </row>
    <row r="426" spans="16:16" x14ac:dyDescent="0.3">
      <c r="P426" s="3">
        <v>2</v>
      </c>
    </row>
    <row r="427" spans="16:16" x14ac:dyDescent="0.3">
      <c r="P427" s="4">
        <v>2</v>
      </c>
    </row>
    <row r="428" spans="16:16" x14ac:dyDescent="0.3">
      <c r="P428" s="3">
        <v>2</v>
      </c>
    </row>
    <row r="429" spans="16:16" x14ac:dyDescent="0.3">
      <c r="P429" s="4">
        <v>2</v>
      </c>
    </row>
    <row r="430" spans="16:16" x14ac:dyDescent="0.3">
      <c r="P430" s="3">
        <v>2</v>
      </c>
    </row>
    <row r="431" spans="16:16" x14ac:dyDescent="0.3">
      <c r="P431" s="4">
        <v>2</v>
      </c>
    </row>
    <row r="432" spans="16:16" x14ac:dyDescent="0.3">
      <c r="P432" s="3">
        <v>2</v>
      </c>
    </row>
    <row r="433" spans="16:16" x14ac:dyDescent="0.3">
      <c r="P433" s="4">
        <v>2</v>
      </c>
    </row>
    <row r="434" spans="16:16" x14ac:dyDescent="0.3">
      <c r="P434" s="3">
        <v>2</v>
      </c>
    </row>
    <row r="435" spans="16:16" x14ac:dyDescent="0.3">
      <c r="P435" s="4">
        <v>2</v>
      </c>
    </row>
    <row r="436" spans="16:16" x14ac:dyDescent="0.3">
      <c r="P436" s="3">
        <v>2</v>
      </c>
    </row>
    <row r="437" spans="16:16" x14ac:dyDescent="0.3">
      <c r="P437" s="4">
        <v>2</v>
      </c>
    </row>
    <row r="438" spans="16:16" x14ac:dyDescent="0.3">
      <c r="P438" s="3">
        <v>2</v>
      </c>
    </row>
    <row r="439" spans="16:16" x14ac:dyDescent="0.3">
      <c r="P439" s="4">
        <v>2</v>
      </c>
    </row>
    <row r="440" spans="16:16" x14ac:dyDescent="0.3">
      <c r="P440" s="3">
        <v>2</v>
      </c>
    </row>
    <row r="441" spans="16:16" x14ac:dyDescent="0.3">
      <c r="P441" s="4">
        <v>2</v>
      </c>
    </row>
    <row r="442" spans="16:16" x14ac:dyDescent="0.3">
      <c r="P442" s="3">
        <v>2</v>
      </c>
    </row>
    <row r="443" spans="16:16" x14ac:dyDescent="0.3">
      <c r="P443" s="4">
        <v>2</v>
      </c>
    </row>
    <row r="444" spans="16:16" x14ac:dyDescent="0.3">
      <c r="P444" s="3">
        <v>2</v>
      </c>
    </row>
    <row r="445" spans="16:16" x14ac:dyDescent="0.3">
      <c r="P445" s="4">
        <v>2</v>
      </c>
    </row>
    <row r="446" spans="16:16" x14ac:dyDescent="0.3">
      <c r="P446" s="3">
        <v>2</v>
      </c>
    </row>
    <row r="447" spans="16:16" x14ac:dyDescent="0.3">
      <c r="P447" s="4">
        <v>2</v>
      </c>
    </row>
    <row r="448" spans="16:16" x14ac:dyDescent="0.3">
      <c r="P448" s="3">
        <v>2</v>
      </c>
    </row>
    <row r="449" spans="16:16" x14ac:dyDescent="0.3">
      <c r="P449" s="4">
        <v>2</v>
      </c>
    </row>
    <row r="450" spans="16:16" x14ac:dyDescent="0.3">
      <c r="P450" s="3">
        <v>2</v>
      </c>
    </row>
    <row r="451" spans="16:16" x14ac:dyDescent="0.3">
      <c r="P451" s="4">
        <v>2</v>
      </c>
    </row>
    <row r="452" spans="16:16" x14ac:dyDescent="0.3">
      <c r="P452" s="3">
        <v>2</v>
      </c>
    </row>
    <row r="453" spans="16:16" x14ac:dyDescent="0.3">
      <c r="P453" s="4">
        <v>2</v>
      </c>
    </row>
    <row r="454" spans="16:16" x14ac:dyDescent="0.3">
      <c r="P454" s="3">
        <v>2</v>
      </c>
    </row>
    <row r="455" spans="16:16" x14ac:dyDescent="0.3">
      <c r="P455" s="4">
        <v>2</v>
      </c>
    </row>
    <row r="456" spans="16:16" x14ac:dyDescent="0.3">
      <c r="P456" s="3">
        <v>2</v>
      </c>
    </row>
    <row r="457" spans="16:16" x14ac:dyDescent="0.3">
      <c r="P457" s="4">
        <v>2</v>
      </c>
    </row>
    <row r="458" spans="16:16" x14ac:dyDescent="0.3">
      <c r="P458" s="3">
        <v>2</v>
      </c>
    </row>
    <row r="459" spans="16:16" x14ac:dyDescent="0.3">
      <c r="P459" s="4">
        <v>2</v>
      </c>
    </row>
    <row r="460" spans="16:16" x14ac:dyDescent="0.3">
      <c r="P460" s="3">
        <v>2</v>
      </c>
    </row>
    <row r="461" spans="16:16" x14ac:dyDescent="0.3">
      <c r="P461" s="4">
        <v>2</v>
      </c>
    </row>
    <row r="462" spans="16:16" x14ac:dyDescent="0.3">
      <c r="P462" s="3">
        <v>2</v>
      </c>
    </row>
    <row r="463" spans="16:16" x14ac:dyDescent="0.3">
      <c r="P463" s="4">
        <v>2</v>
      </c>
    </row>
    <row r="464" spans="16:16" x14ac:dyDescent="0.3">
      <c r="P464" s="3">
        <v>2</v>
      </c>
    </row>
    <row r="465" spans="16:16" x14ac:dyDescent="0.3">
      <c r="P465" s="4">
        <v>2</v>
      </c>
    </row>
    <row r="466" spans="16:16" x14ac:dyDescent="0.3">
      <c r="P466" s="3">
        <v>2</v>
      </c>
    </row>
    <row r="467" spans="16:16" x14ac:dyDescent="0.3">
      <c r="P467" s="4">
        <v>2</v>
      </c>
    </row>
    <row r="468" spans="16:16" x14ac:dyDescent="0.3">
      <c r="P468" s="3">
        <v>2</v>
      </c>
    </row>
    <row r="469" spans="16:16" x14ac:dyDescent="0.3">
      <c r="P469" s="4">
        <v>2</v>
      </c>
    </row>
    <row r="470" spans="16:16" x14ac:dyDescent="0.3">
      <c r="P470" s="3">
        <v>2</v>
      </c>
    </row>
    <row r="471" spans="16:16" x14ac:dyDescent="0.3">
      <c r="P471" s="4">
        <v>2</v>
      </c>
    </row>
    <row r="472" spans="16:16" x14ac:dyDescent="0.3">
      <c r="P472" s="3">
        <v>2</v>
      </c>
    </row>
    <row r="473" spans="16:16" x14ac:dyDescent="0.3">
      <c r="P473" s="4">
        <v>2</v>
      </c>
    </row>
    <row r="474" spans="16:16" x14ac:dyDescent="0.3">
      <c r="P474" s="3">
        <v>2</v>
      </c>
    </row>
    <row r="475" spans="16:16" x14ac:dyDescent="0.3">
      <c r="P475" s="4">
        <v>2</v>
      </c>
    </row>
    <row r="476" spans="16:16" x14ac:dyDescent="0.3">
      <c r="P476" s="3">
        <v>2</v>
      </c>
    </row>
    <row r="477" spans="16:16" x14ac:dyDescent="0.3">
      <c r="P477" s="4">
        <v>2</v>
      </c>
    </row>
    <row r="478" spans="16:16" x14ac:dyDescent="0.3">
      <c r="P478" s="3">
        <v>2</v>
      </c>
    </row>
    <row r="479" spans="16:16" x14ac:dyDescent="0.3">
      <c r="P479" s="4">
        <v>2</v>
      </c>
    </row>
    <row r="480" spans="16:16" x14ac:dyDescent="0.3">
      <c r="P480" s="3">
        <v>2</v>
      </c>
    </row>
    <row r="481" spans="16:16" x14ac:dyDescent="0.3">
      <c r="P481" s="4">
        <v>2</v>
      </c>
    </row>
    <row r="482" spans="16:16" x14ac:dyDescent="0.3">
      <c r="P482" s="3">
        <v>2</v>
      </c>
    </row>
    <row r="483" spans="16:16" x14ac:dyDescent="0.3">
      <c r="P483" s="4">
        <v>2</v>
      </c>
    </row>
    <row r="484" spans="16:16" x14ac:dyDescent="0.3">
      <c r="P484" s="3">
        <v>2</v>
      </c>
    </row>
    <row r="485" spans="16:16" x14ac:dyDescent="0.3">
      <c r="P485" s="4">
        <v>2</v>
      </c>
    </row>
    <row r="486" spans="16:16" x14ac:dyDescent="0.3">
      <c r="P486" s="3">
        <v>2</v>
      </c>
    </row>
    <row r="487" spans="16:16" x14ac:dyDescent="0.3">
      <c r="P487" s="4">
        <v>2</v>
      </c>
    </row>
    <row r="488" spans="16:16" x14ac:dyDescent="0.3">
      <c r="P488" s="3">
        <v>2</v>
      </c>
    </row>
    <row r="489" spans="16:16" x14ac:dyDescent="0.3">
      <c r="P489" s="4">
        <v>2</v>
      </c>
    </row>
    <row r="490" spans="16:16" x14ac:dyDescent="0.3">
      <c r="P490" s="3">
        <v>2</v>
      </c>
    </row>
    <row r="491" spans="16:16" x14ac:dyDescent="0.3">
      <c r="P491" s="4">
        <v>2</v>
      </c>
    </row>
    <row r="492" spans="16:16" x14ac:dyDescent="0.3">
      <c r="P492" s="3">
        <v>2</v>
      </c>
    </row>
    <row r="493" spans="16:16" x14ac:dyDescent="0.3">
      <c r="P493" s="4">
        <v>2</v>
      </c>
    </row>
    <row r="494" spans="16:16" x14ac:dyDescent="0.3">
      <c r="P494" s="3">
        <v>2</v>
      </c>
    </row>
    <row r="495" spans="16:16" x14ac:dyDescent="0.3">
      <c r="P495" s="4">
        <v>2</v>
      </c>
    </row>
    <row r="496" spans="16:16" x14ac:dyDescent="0.3">
      <c r="P496" s="3">
        <v>2</v>
      </c>
    </row>
    <row r="497" spans="16:16" x14ac:dyDescent="0.3">
      <c r="P497" s="4">
        <v>2</v>
      </c>
    </row>
    <row r="498" spans="16:16" x14ac:dyDescent="0.3">
      <c r="P498" s="3">
        <v>2</v>
      </c>
    </row>
    <row r="499" spans="16:16" x14ac:dyDescent="0.3">
      <c r="P499" s="4">
        <v>2</v>
      </c>
    </row>
    <row r="500" spans="16:16" x14ac:dyDescent="0.3">
      <c r="P500" s="3">
        <v>2</v>
      </c>
    </row>
    <row r="501" spans="16:16" x14ac:dyDescent="0.3">
      <c r="P501" s="4">
        <v>2</v>
      </c>
    </row>
    <row r="502" spans="16:16" x14ac:dyDescent="0.3">
      <c r="P502" s="3">
        <v>2</v>
      </c>
    </row>
    <row r="503" spans="16:16" x14ac:dyDescent="0.3">
      <c r="P503" s="4">
        <v>2</v>
      </c>
    </row>
    <row r="504" spans="16:16" x14ac:dyDescent="0.3">
      <c r="P504" s="3">
        <v>2</v>
      </c>
    </row>
    <row r="505" spans="16:16" x14ac:dyDescent="0.3">
      <c r="P505" s="4">
        <v>2</v>
      </c>
    </row>
    <row r="506" spans="16:16" x14ac:dyDescent="0.3">
      <c r="P506" s="3">
        <v>2</v>
      </c>
    </row>
    <row r="507" spans="16:16" x14ac:dyDescent="0.3">
      <c r="P507" s="4">
        <v>2</v>
      </c>
    </row>
    <row r="508" spans="16:16" x14ac:dyDescent="0.3">
      <c r="P508" s="3">
        <v>2</v>
      </c>
    </row>
    <row r="509" spans="16:16" x14ac:dyDescent="0.3">
      <c r="P509" s="4">
        <v>2</v>
      </c>
    </row>
    <row r="510" spans="16:16" x14ac:dyDescent="0.3">
      <c r="P510" s="3">
        <v>2</v>
      </c>
    </row>
    <row r="511" spans="16:16" x14ac:dyDescent="0.3">
      <c r="P511" s="4">
        <v>2</v>
      </c>
    </row>
    <row r="512" spans="16:16" x14ac:dyDescent="0.3">
      <c r="P512" s="3">
        <v>2</v>
      </c>
    </row>
    <row r="513" spans="16:16" x14ac:dyDescent="0.3">
      <c r="P513" s="4">
        <v>2</v>
      </c>
    </row>
    <row r="514" spans="16:16" x14ac:dyDescent="0.3">
      <c r="P514" s="3">
        <v>2</v>
      </c>
    </row>
    <row r="515" spans="16:16" x14ac:dyDescent="0.3">
      <c r="P515" s="4">
        <v>2</v>
      </c>
    </row>
    <row r="516" spans="16:16" x14ac:dyDescent="0.3">
      <c r="P516" s="3">
        <v>2</v>
      </c>
    </row>
    <row r="517" spans="16:16" x14ac:dyDescent="0.3">
      <c r="P517" s="4">
        <v>2</v>
      </c>
    </row>
    <row r="518" spans="16:16" x14ac:dyDescent="0.3">
      <c r="P518" s="3">
        <v>2</v>
      </c>
    </row>
    <row r="519" spans="16:16" x14ac:dyDescent="0.3">
      <c r="P519" s="4">
        <v>2</v>
      </c>
    </row>
    <row r="520" spans="16:16" x14ac:dyDescent="0.3">
      <c r="P520" s="3">
        <v>2</v>
      </c>
    </row>
    <row r="521" spans="16:16" x14ac:dyDescent="0.3">
      <c r="P521" s="4">
        <v>2</v>
      </c>
    </row>
    <row r="522" spans="16:16" x14ac:dyDescent="0.3">
      <c r="P522" s="3">
        <v>2</v>
      </c>
    </row>
    <row r="523" spans="16:16" x14ac:dyDescent="0.3">
      <c r="P523" s="4">
        <v>2</v>
      </c>
    </row>
    <row r="524" spans="16:16" x14ac:dyDescent="0.3">
      <c r="P524" s="3">
        <v>2</v>
      </c>
    </row>
    <row r="525" spans="16:16" x14ac:dyDescent="0.3">
      <c r="P525" s="4">
        <v>2</v>
      </c>
    </row>
    <row r="526" spans="16:16" x14ac:dyDescent="0.3">
      <c r="P526" s="3">
        <v>2</v>
      </c>
    </row>
    <row r="527" spans="16:16" x14ac:dyDescent="0.3">
      <c r="P527" s="4">
        <v>2</v>
      </c>
    </row>
    <row r="528" spans="16:16" x14ac:dyDescent="0.3">
      <c r="P528" s="3">
        <v>2</v>
      </c>
    </row>
    <row r="529" spans="16:16" x14ac:dyDescent="0.3">
      <c r="P529" s="4">
        <v>2</v>
      </c>
    </row>
    <row r="530" spans="16:16" x14ac:dyDescent="0.3">
      <c r="P530" s="3">
        <v>2</v>
      </c>
    </row>
    <row r="531" spans="16:16" x14ac:dyDescent="0.3">
      <c r="P531" s="4">
        <v>2</v>
      </c>
    </row>
    <row r="532" spans="16:16" x14ac:dyDescent="0.3">
      <c r="P532" s="3">
        <v>2</v>
      </c>
    </row>
    <row r="533" spans="16:16" x14ac:dyDescent="0.3">
      <c r="P533" s="4">
        <v>2</v>
      </c>
    </row>
    <row r="534" spans="16:16" x14ac:dyDescent="0.3">
      <c r="P534" s="3">
        <v>2</v>
      </c>
    </row>
    <row r="535" spans="16:16" x14ac:dyDescent="0.3">
      <c r="P535" s="4">
        <v>2</v>
      </c>
    </row>
    <row r="536" spans="16:16" x14ac:dyDescent="0.3">
      <c r="P536" s="3">
        <v>2</v>
      </c>
    </row>
    <row r="537" spans="16:16" x14ac:dyDescent="0.3">
      <c r="P537" s="4">
        <v>2</v>
      </c>
    </row>
    <row r="538" spans="16:16" x14ac:dyDescent="0.3">
      <c r="P538" s="3">
        <v>2</v>
      </c>
    </row>
    <row r="539" spans="16:16" x14ac:dyDescent="0.3">
      <c r="P539" s="4">
        <v>2</v>
      </c>
    </row>
    <row r="540" spans="16:16" x14ac:dyDescent="0.3">
      <c r="P540" s="3">
        <v>2</v>
      </c>
    </row>
    <row r="541" spans="16:16" x14ac:dyDescent="0.3">
      <c r="P541" s="4">
        <v>2</v>
      </c>
    </row>
    <row r="542" spans="16:16" x14ac:dyDescent="0.3">
      <c r="P542" s="3">
        <v>2</v>
      </c>
    </row>
    <row r="543" spans="16:16" x14ac:dyDescent="0.3">
      <c r="P543" s="4">
        <v>2</v>
      </c>
    </row>
    <row r="544" spans="16:16" x14ac:dyDescent="0.3">
      <c r="P544" s="3">
        <v>2</v>
      </c>
    </row>
    <row r="545" spans="16:16" x14ac:dyDescent="0.3">
      <c r="P545" s="4">
        <v>2</v>
      </c>
    </row>
    <row r="546" spans="16:16" x14ac:dyDescent="0.3">
      <c r="P546" s="3">
        <v>2</v>
      </c>
    </row>
    <row r="547" spans="16:16" x14ac:dyDescent="0.3">
      <c r="P547" s="4">
        <v>2.5</v>
      </c>
    </row>
    <row r="548" spans="16:16" x14ac:dyDescent="0.3">
      <c r="P548" s="3">
        <v>2.5</v>
      </c>
    </row>
    <row r="549" spans="16:16" x14ac:dyDescent="0.3">
      <c r="P549" s="4">
        <v>2.5</v>
      </c>
    </row>
    <row r="550" spans="16:16" x14ac:dyDescent="0.3">
      <c r="P550" s="3">
        <v>2.5</v>
      </c>
    </row>
    <row r="551" spans="16:16" x14ac:dyDescent="0.3">
      <c r="P551" s="4">
        <v>2.5</v>
      </c>
    </row>
    <row r="552" spans="16:16" x14ac:dyDescent="0.3">
      <c r="P552" s="3">
        <v>2.5</v>
      </c>
    </row>
    <row r="553" spans="16:16" x14ac:dyDescent="0.3">
      <c r="P553" s="4">
        <v>2.5</v>
      </c>
    </row>
    <row r="554" spans="16:16" x14ac:dyDescent="0.3">
      <c r="P554" s="3">
        <v>2.5</v>
      </c>
    </row>
    <row r="555" spans="16:16" x14ac:dyDescent="0.3">
      <c r="P555" s="4">
        <v>2.5</v>
      </c>
    </row>
    <row r="556" spans="16:16" x14ac:dyDescent="0.3">
      <c r="P556" s="3">
        <v>2.5</v>
      </c>
    </row>
    <row r="557" spans="16:16" x14ac:dyDescent="0.3">
      <c r="P557" s="4">
        <v>2.5</v>
      </c>
    </row>
    <row r="558" spans="16:16" x14ac:dyDescent="0.3">
      <c r="P558" s="3">
        <v>2.5</v>
      </c>
    </row>
    <row r="559" spans="16:16" x14ac:dyDescent="0.3">
      <c r="P559" s="4">
        <v>2.6</v>
      </c>
    </row>
    <row r="560" spans="16:16" x14ac:dyDescent="0.3">
      <c r="P560" s="3">
        <v>3</v>
      </c>
    </row>
    <row r="561" spans="16:16" x14ac:dyDescent="0.3">
      <c r="P561" s="4">
        <v>3</v>
      </c>
    </row>
    <row r="562" spans="16:16" x14ac:dyDescent="0.3">
      <c r="P562" s="3">
        <v>3</v>
      </c>
    </row>
    <row r="563" spans="16:16" x14ac:dyDescent="0.3">
      <c r="P563" s="4">
        <v>3</v>
      </c>
    </row>
    <row r="564" spans="16:16" x14ac:dyDescent="0.3">
      <c r="P564" s="3">
        <v>3</v>
      </c>
    </row>
    <row r="565" spans="16:16" x14ac:dyDescent="0.3">
      <c r="P565" s="4">
        <v>3</v>
      </c>
    </row>
    <row r="566" spans="16:16" x14ac:dyDescent="0.3">
      <c r="P566" s="3">
        <v>3</v>
      </c>
    </row>
    <row r="567" spans="16:16" x14ac:dyDescent="0.3">
      <c r="P567" s="4">
        <v>3</v>
      </c>
    </row>
    <row r="568" spans="16:16" x14ac:dyDescent="0.3">
      <c r="P568" s="3">
        <v>3</v>
      </c>
    </row>
    <row r="569" spans="16:16" x14ac:dyDescent="0.3">
      <c r="P569" s="4">
        <v>3</v>
      </c>
    </row>
    <row r="570" spans="16:16" x14ac:dyDescent="0.3">
      <c r="P570" s="3">
        <v>3</v>
      </c>
    </row>
    <row r="571" spans="16:16" x14ac:dyDescent="0.3">
      <c r="P571" s="4">
        <v>3</v>
      </c>
    </row>
    <row r="572" spans="16:16" x14ac:dyDescent="0.3">
      <c r="P572" s="3">
        <v>3</v>
      </c>
    </row>
    <row r="573" spans="16:16" x14ac:dyDescent="0.3">
      <c r="P573" s="4">
        <v>3</v>
      </c>
    </row>
    <row r="574" spans="16:16" x14ac:dyDescent="0.3">
      <c r="P574" s="3">
        <v>3</v>
      </c>
    </row>
    <row r="575" spans="16:16" x14ac:dyDescent="0.3">
      <c r="P575" s="4">
        <v>3</v>
      </c>
    </row>
    <row r="576" spans="16:16" x14ac:dyDescent="0.3">
      <c r="P576" s="3">
        <v>3</v>
      </c>
    </row>
    <row r="577" spans="16:16" x14ac:dyDescent="0.3">
      <c r="P577" s="4">
        <v>3</v>
      </c>
    </row>
    <row r="578" spans="16:16" x14ac:dyDescent="0.3">
      <c r="P578" s="3">
        <v>3</v>
      </c>
    </row>
    <row r="579" spans="16:16" x14ac:dyDescent="0.3">
      <c r="P579" s="4">
        <v>3</v>
      </c>
    </row>
    <row r="580" spans="16:16" x14ac:dyDescent="0.3">
      <c r="P580" s="3">
        <v>3</v>
      </c>
    </row>
    <row r="581" spans="16:16" x14ac:dyDescent="0.3">
      <c r="P581" s="4">
        <v>3</v>
      </c>
    </row>
    <row r="582" spans="16:16" x14ac:dyDescent="0.3">
      <c r="P582" s="3">
        <v>3</v>
      </c>
    </row>
    <row r="583" spans="16:16" x14ac:dyDescent="0.3">
      <c r="P583" s="4">
        <v>3</v>
      </c>
    </row>
    <row r="584" spans="16:16" x14ac:dyDescent="0.3">
      <c r="P584" s="3">
        <v>3</v>
      </c>
    </row>
    <row r="585" spans="16:16" x14ac:dyDescent="0.3">
      <c r="P585" s="4">
        <v>3</v>
      </c>
    </row>
    <row r="586" spans="16:16" x14ac:dyDescent="0.3">
      <c r="P586" s="3">
        <v>3</v>
      </c>
    </row>
    <row r="587" spans="16:16" x14ac:dyDescent="0.3">
      <c r="P587" s="4">
        <v>3</v>
      </c>
    </row>
    <row r="588" spans="16:16" x14ac:dyDescent="0.3">
      <c r="P588" s="3">
        <v>3</v>
      </c>
    </row>
    <row r="589" spans="16:16" x14ac:dyDescent="0.3">
      <c r="P589" s="4">
        <v>3</v>
      </c>
    </row>
    <row r="590" spans="16:16" x14ac:dyDescent="0.3">
      <c r="P590" s="3">
        <v>3</v>
      </c>
    </row>
    <row r="591" spans="16:16" x14ac:dyDescent="0.3">
      <c r="P591" s="4">
        <v>3</v>
      </c>
    </row>
    <row r="592" spans="16:16" x14ac:dyDescent="0.3">
      <c r="P592" s="3">
        <v>3</v>
      </c>
    </row>
    <row r="593" spans="16:16" x14ac:dyDescent="0.3">
      <c r="P593" s="4">
        <v>3</v>
      </c>
    </row>
    <row r="594" spans="16:16" x14ac:dyDescent="0.3">
      <c r="P594" s="3">
        <v>3</v>
      </c>
    </row>
    <row r="595" spans="16:16" x14ac:dyDescent="0.3">
      <c r="P595" s="4">
        <v>3</v>
      </c>
    </row>
    <row r="596" spans="16:16" x14ac:dyDescent="0.3">
      <c r="P596" s="3">
        <v>3</v>
      </c>
    </row>
    <row r="597" spans="16:16" x14ac:dyDescent="0.3">
      <c r="P597" s="4">
        <v>3</v>
      </c>
    </row>
    <row r="598" spans="16:16" x14ac:dyDescent="0.3">
      <c r="P598" s="3">
        <v>3</v>
      </c>
    </row>
    <row r="599" spans="16:16" x14ac:dyDescent="0.3">
      <c r="P599" s="4">
        <v>3</v>
      </c>
    </row>
    <row r="600" spans="16:16" x14ac:dyDescent="0.3">
      <c r="P600" s="3">
        <v>3</v>
      </c>
    </row>
    <row r="601" spans="16:16" x14ac:dyDescent="0.3">
      <c r="P601" s="4">
        <v>3</v>
      </c>
    </row>
    <row r="602" spans="16:16" x14ac:dyDescent="0.3">
      <c r="P602" s="3">
        <v>3</v>
      </c>
    </row>
    <row r="603" spans="16:16" x14ac:dyDescent="0.3">
      <c r="P603" s="4">
        <v>3</v>
      </c>
    </row>
    <row r="604" spans="16:16" x14ac:dyDescent="0.3">
      <c r="P604" s="3">
        <v>3</v>
      </c>
    </row>
    <row r="605" spans="16:16" x14ac:dyDescent="0.3">
      <c r="P605" s="4">
        <v>3</v>
      </c>
    </row>
    <row r="606" spans="16:16" x14ac:dyDescent="0.3">
      <c r="P606" s="3">
        <v>3</v>
      </c>
    </row>
    <row r="607" spans="16:16" x14ac:dyDescent="0.3">
      <c r="P607" s="4">
        <v>3</v>
      </c>
    </row>
    <row r="608" spans="16:16" x14ac:dyDescent="0.3">
      <c r="P608" s="3">
        <v>3</v>
      </c>
    </row>
    <row r="609" spans="16:16" x14ac:dyDescent="0.3">
      <c r="P609" s="4">
        <v>3</v>
      </c>
    </row>
    <row r="610" spans="16:16" x14ac:dyDescent="0.3">
      <c r="P610" s="3">
        <v>3</v>
      </c>
    </row>
    <row r="611" spans="16:16" x14ac:dyDescent="0.3">
      <c r="P611" s="4">
        <v>3</v>
      </c>
    </row>
    <row r="612" spans="16:16" x14ac:dyDescent="0.3">
      <c r="P612" s="3">
        <v>3</v>
      </c>
    </row>
    <row r="613" spans="16:16" x14ac:dyDescent="0.3">
      <c r="P613" s="4">
        <v>3</v>
      </c>
    </row>
    <row r="614" spans="16:16" x14ac:dyDescent="0.3">
      <c r="P614" s="3">
        <v>3</v>
      </c>
    </row>
    <row r="615" spans="16:16" x14ac:dyDescent="0.3">
      <c r="P615" s="4">
        <v>3</v>
      </c>
    </row>
    <row r="616" spans="16:16" x14ac:dyDescent="0.3">
      <c r="P616" s="3">
        <v>3</v>
      </c>
    </row>
    <row r="617" spans="16:16" x14ac:dyDescent="0.3">
      <c r="P617" s="4">
        <v>3</v>
      </c>
    </row>
    <row r="618" spans="16:16" x14ac:dyDescent="0.3">
      <c r="P618" s="3">
        <v>3</v>
      </c>
    </row>
    <row r="619" spans="16:16" x14ac:dyDescent="0.3">
      <c r="P619" s="4">
        <v>3</v>
      </c>
    </row>
    <row r="620" spans="16:16" x14ac:dyDescent="0.3">
      <c r="P620" s="3">
        <v>3</v>
      </c>
    </row>
    <row r="621" spans="16:16" x14ac:dyDescent="0.3">
      <c r="P621" s="4">
        <v>3</v>
      </c>
    </row>
    <row r="622" spans="16:16" x14ac:dyDescent="0.3">
      <c r="P622" s="3">
        <v>3</v>
      </c>
    </row>
    <row r="623" spans="16:16" x14ac:dyDescent="0.3">
      <c r="P623" s="4">
        <v>3</v>
      </c>
    </row>
    <row r="624" spans="16:16" x14ac:dyDescent="0.3">
      <c r="P624" s="3">
        <v>3</v>
      </c>
    </row>
    <row r="625" spans="16:16" x14ac:dyDescent="0.3">
      <c r="P625" s="4">
        <v>3</v>
      </c>
    </row>
    <row r="626" spans="16:16" x14ac:dyDescent="0.3">
      <c r="P626" s="3">
        <v>3</v>
      </c>
    </row>
    <row r="627" spans="16:16" x14ac:dyDescent="0.3">
      <c r="P627" s="4">
        <v>3</v>
      </c>
    </row>
    <row r="628" spans="16:16" x14ac:dyDescent="0.3">
      <c r="P628" s="3">
        <v>3</v>
      </c>
    </row>
    <row r="629" spans="16:16" x14ac:dyDescent="0.3">
      <c r="P629" s="4">
        <v>3</v>
      </c>
    </row>
    <row r="630" spans="16:16" x14ac:dyDescent="0.3">
      <c r="P630" s="3">
        <v>3</v>
      </c>
    </row>
    <row r="631" spans="16:16" x14ac:dyDescent="0.3">
      <c r="P631" s="4">
        <v>3</v>
      </c>
    </row>
    <row r="632" spans="16:16" x14ac:dyDescent="0.3">
      <c r="P632" s="3">
        <v>3</v>
      </c>
    </row>
    <row r="633" spans="16:16" x14ac:dyDescent="0.3">
      <c r="P633" s="4">
        <v>3</v>
      </c>
    </row>
    <row r="634" spans="16:16" x14ac:dyDescent="0.3">
      <c r="P634" s="3">
        <v>3</v>
      </c>
    </row>
    <row r="635" spans="16:16" x14ac:dyDescent="0.3">
      <c r="P635" s="4">
        <v>3</v>
      </c>
    </row>
    <row r="636" spans="16:16" x14ac:dyDescent="0.3">
      <c r="P636" s="3">
        <v>3</v>
      </c>
    </row>
    <row r="637" spans="16:16" x14ac:dyDescent="0.3">
      <c r="P637" s="4">
        <v>3</v>
      </c>
    </row>
    <row r="638" spans="16:16" x14ac:dyDescent="0.3">
      <c r="P638" s="3">
        <v>3</v>
      </c>
    </row>
    <row r="639" spans="16:16" x14ac:dyDescent="0.3">
      <c r="P639" s="4">
        <v>3</v>
      </c>
    </row>
    <row r="640" spans="16:16" x14ac:dyDescent="0.3">
      <c r="P640" s="3">
        <v>3</v>
      </c>
    </row>
    <row r="641" spans="16:16" x14ac:dyDescent="0.3">
      <c r="P641" s="4">
        <v>3</v>
      </c>
    </row>
    <row r="642" spans="16:16" x14ac:dyDescent="0.3">
      <c r="P642" s="3">
        <v>3</v>
      </c>
    </row>
    <row r="643" spans="16:16" x14ac:dyDescent="0.3">
      <c r="P643" s="4">
        <v>3</v>
      </c>
    </row>
    <row r="644" spans="16:16" x14ac:dyDescent="0.3">
      <c r="P644" s="3">
        <v>3</v>
      </c>
    </row>
    <row r="645" spans="16:16" x14ac:dyDescent="0.3">
      <c r="P645" s="4">
        <v>3</v>
      </c>
    </row>
    <row r="646" spans="16:16" x14ac:dyDescent="0.3">
      <c r="P646" s="3">
        <v>3</v>
      </c>
    </row>
    <row r="647" spans="16:16" x14ac:dyDescent="0.3">
      <c r="P647" s="4">
        <v>3</v>
      </c>
    </row>
    <row r="648" spans="16:16" x14ac:dyDescent="0.3">
      <c r="P648" s="3">
        <v>3</v>
      </c>
    </row>
    <row r="649" spans="16:16" x14ac:dyDescent="0.3">
      <c r="P649" s="4">
        <v>3</v>
      </c>
    </row>
    <row r="650" spans="16:16" x14ac:dyDescent="0.3">
      <c r="P650" s="3">
        <v>3</v>
      </c>
    </row>
    <row r="651" spans="16:16" x14ac:dyDescent="0.3">
      <c r="P651" s="4">
        <v>3</v>
      </c>
    </row>
    <row r="652" spans="16:16" x14ac:dyDescent="0.3">
      <c r="P652" s="3">
        <v>3</v>
      </c>
    </row>
    <row r="653" spans="16:16" x14ac:dyDescent="0.3">
      <c r="P653" s="4">
        <v>3</v>
      </c>
    </row>
    <row r="654" spans="16:16" x14ac:dyDescent="0.3">
      <c r="P654" s="3">
        <v>3</v>
      </c>
    </row>
    <row r="655" spans="16:16" x14ac:dyDescent="0.3">
      <c r="P655" s="4">
        <v>3</v>
      </c>
    </row>
    <row r="656" spans="16:16" x14ac:dyDescent="0.3">
      <c r="P656" s="3">
        <v>3</v>
      </c>
    </row>
    <row r="657" spans="16:16" x14ac:dyDescent="0.3">
      <c r="P657" s="4">
        <v>3</v>
      </c>
    </row>
    <row r="658" spans="16:16" x14ac:dyDescent="0.3">
      <c r="P658" s="3">
        <v>3</v>
      </c>
    </row>
    <row r="659" spans="16:16" x14ac:dyDescent="0.3">
      <c r="P659" s="4">
        <v>3</v>
      </c>
    </row>
    <row r="660" spans="16:16" x14ac:dyDescent="0.3">
      <c r="P660" s="3">
        <v>3</v>
      </c>
    </row>
    <row r="661" spans="16:16" x14ac:dyDescent="0.3">
      <c r="P661" s="4">
        <v>3</v>
      </c>
    </row>
    <row r="662" spans="16:16" x14ac:dyDescent="0.3">
      <c r="P662" s="3">
        <v>3</v>
      </c>
    </row>
    <row r="663" spans="16:16" x14ac:dyDescent="0.3">
      <c r="P663" s="4">
        <v>3</v>
      </c>
    </row>
    <row r="664" spans="16:16" x14ac:dyDescent="0.3">
      <c r="P664" s="3">
        <v>3</v>
      </c>
    </row>
    <row r="665" spans="16:16" x14ac:dyDescent="0.3">
      <c r="P665" s="4">
        <v>3</v>
      </c>
    </row>
    <row r="666" spans="16:16" x14ac:dyDescent="0.3">
      <c r="P666" s="3">
        <v>3</v>
      </c>
    </row>
    <row r="667" spans="16:16" x14ac:dyDescent="0.3">
      <c r="P667" s="4">
        <v>3</v>
      </c>
    </row>
    <row r="668" spans="16:16" x14ac:dyDescent="0.3">
      <c r="P668" s="3">
        <v>3</v>
      </c>
    </row>
    <row r="669" spans="16:16" x14ac:dyDescent="0.3">
      <c r="P669" s="4">
        <v>3</v>
      </c>
    </row>
    <row r="670" spans="16:16" x14ac:dyDescent="0.3">
      <c r="P670" s="3">
        <v>3</v>
      </c>
    </row>
    <row r="671" spans="16:16" x14ac:dyDescent="0.3">
      <c r="P671" s="4">
        <v>3</v>
      </c>
    </row>
    <row r="672" spans="16:16" x14ac:dyDescent="0.3">
      <c r="P672" s="3">
        <v>3</v>
      </c>
    </row>
    <row r="673" spans="16:16" x14ac:dyDescent="0.3">
      <c r="P673" s="4">
        <v>3</v>
      </c>
    </row>
    <row r="674" spans="16:16" x14ac:dyDescent="0.3">
      <c r="P674" s="3">
        <v>3</v>
      </c>
    </row>
    <row r="675" spans="16:16" x14ac:dyDescent="0.3">
      <c r="P675" s="4">
        <v>3</v>
      </c>
    </row>
    <row r="676" spans="16:16" x14ac:dyDescent="0.3">
      <c r="P676" s="3">
        <v>3</v>
      </c>
    </row>
    <row r="677" spans="16:16" x14ac:dyDescent="0.3">
      <c r="P677" s="4">
        <v>3</v>
      </c>
    </row>
    <row r="678" spans="16:16" x14ac:dyDescent="0.3">
      <c r="P678" s="3">
        <v>3</v>
      </c>
    </row>
    <row r="679" spans="16:16" x14ac:dyDescent="0.3">
      <c r="P679" s="4">
        <v>3</v>
      </c>
    </row>
    <row r="680" spans="16:16" x14ac:dyDescent="0.3">
      <c r="P680" s="3">
        <v>3</v>
      </c>
    </row>
    <row r="681" spans="16:16" x14ac:dyDescent="0.3">
      <c r="P681" s="4">
        <v>3</v>
      </c>
    </row>
    <row r="682" spans="16:16" x14ac:dyDescent="0.3">
      <c r="P682" s="3">
        <v>3</v>
      </c>
    </row>
    <row r="683" spans="16:16" x14ac:dyDescent="0.3">
      <c r="P683" s="4">
        <v>3</v>
      </c>
    </row>
    <row r="684" spans="16:16" x14ac:dyDescent="0.3">
      <c r="P684" s="3">
        <v>3</v>
      </c>
    </row>
    <row r="685" spans="16:16" x14ac:dyDescent="0.3">
      <c r="P685" s="4">
        <v>3</v>
      </c>
    </row>
    <row r="686" spans="16:16" x14ac:dyDescent="0.3">
      <c r="P686" s="3">
        <v>3</v>
      </c>
    </row>
    <row r="687" spans="16:16" x14ac:dyDescent="0.3">
      <c r="P687" s="4">
        <v>3</v>
      </c>
    </row>
    <row r="688" spans="16:16" x14ac:dyDescent="0.3">
      <c r="P688" s="3">
        <v>3</v>
      </c>
    </row>
    <row r="689" spans="16:16" x14ac:dyDescent="0.3">
      <c r="P689" s="4">
        <v>3</v>
      </c>
    </row>
    <row r="690" spans="16:16" x14ac:dyDescent="0.3">
      <c r="P690" s="3">
        <v>3</v>
      </c>
    </row>
    <row r="691" spans="16:16" x14ac:dyDescent="0.3">
      <c r="P691" s="4">
        <v>3</v>
      </c>
    </row>
    <row r="692" spans="16:16" x14ac:dyDescent="0.3">
      <c r="P692" s="3">
        <v>3</v>
      </c>
    </row>
    <row r="693" spans="16:16" x14ac:dyDescent="0.3">
      <c r="P693" s="4">
        <v>3</v>
      </c>
    </row>
    <row r="694" spans="16:16" x14ac:dyDescent="0.3">
      <c r="P694" s="3">
        <v>3</v>
      </c>
    </row>
    <row r="695" spans="16:16" x14ac:dyDescent="0.3">
      <c r="P695" s="4">
        <v>3</v>
      </c>
    </row>
    <row r="696" spans="16:16" x14ac:dyDescent="0.3">
      <c r="P696" s="3">
        <v>3</v>
      </c>
    </row>
    <row r="697" spans="16:16" x14ac:dyDescent="0.3">
      <c r="P697" s="4">
        <v>3</v>
      </c>
    </row>
    <row r="698" spans="16:16" x14ac:dyDescent="0.3">
      <c r="P698" s="3">
        <v>3</v>
      </c>
    </row>
    <row r="699" spans="16:16" x14ac:dyDescent="0.3">
      <c r="P699" s="4">
        <v>3</v>
      </c>
    </row>
    <row r="700" spans="16:16" x14ac:dyDescent="0.3">
      <c r="P700" s="3">
        <v>3</v>
      </c>
    </row>
    <row r="701" spans="16:16" x14ac:dyDescent="0.3">
      <c r="P701" s="4">
        <v>3</v>
      </c>
    </row>
    <row r="702" spans="16:16" x14ac:dyDescent="0.3">
      <c r="P702" s="3">
        <v>3</v>
      </c>
    </row>
    <row r="703" spans="16:16" x14ac:dyDescent="0.3">
      <c r="P703" s="4">
        <v>3</v>
      </c>
    </row>
    <row r="704" spans="16:16" x14ac:dyDescent="0.3">
      <c r="P704" s="3">
        <v>3</v>
      </c>
    </row>
    <row r="705" spans="16:16" x14ac:dyDescent="0.3">
      <c r="P705" s="4">
        <v>3</v>
      </c>
    </row>
    <row r="706" spans="16:16" x14ac:dyDescent="0.3">
      <c r="P706" s="3">
        <v>3</v>
      </c>
    </row>
    <row r="707" spans="16:16" x14ac:dyDescent="0.3">
      <c r="P707" s="4">
        <v>3</v>
      </c>
    </row>
    <row r="708" spans="16:16" x14ac:dyDescent="0.3">
      <c r="P708" s="3">
        <v>3</v>
      </c>
    </row>
    <row r="709" spans="16:16" x14ac:dyDescent="0.3">
      <c r="P709" s="4">
        <v>3</v>
      </c>
    </row>
    <row r="710" spans="16:16" x14ac:dyDescent="0.3">
      <c r="P710" s="3">
        <v>3</v>
      </c>
    </row>
    <row r="711" spans="16:16" x14ac:dyDescent="0.3">
      <c r="P711" s="4">
        <v>3</v>
      </c>
    </row>
    <row r="712" spans="16:16" x14ac:dyDescent="0.3">
      <c r="P712" s="3">
        <v>3</v>
      </c>
    </row>
    <row r="713" spans="16:16" x14ac:dyDescent="0.3">
      <c r="P713" s="4">
        <v>3</v>
      </c>
    </row>
    <row r="714" spans="16:16" x14ac:dyDescent="0.3">
      <c r="P714" s="3">
        <v>3</v>
      </c>
    </row>
    <row r="715" spans="16:16" x14ac:dyDescent="0.3">
      <c r="P715" s="4">
        <v>3</v>
      </c>
    </row>
    <row r="716" spans="16:16" x14ac:dyDescent="0.3">
      <c r="P716" s="3">
        <v>3</v>
      </c>
    </row>
    <row r="717" spans="16:16" x14ac:dyDescent="0.3">
      <c r="P717" s="4">
        <v>3.5</v>
      </c>
    </row>
    <row r="718" spans="16:16" x14ac:dyDescent="0.3">
      <c r="P718" s="3">
        <v>3.5</v>
      </c>
    </row>
    <row r="719" spans="16:16" x14ac:dyDescent="0.3">
      <c r="P719" s="4">
        <v>3.5</v>
      </c>
    </row>
    <row r="720" spans="16:16" x14ac:dyDescent="0.3">
      <c r="P720" s="3">
        <v>3.5</v>
      </c>
    </row>
    <row r="721" spans="16:16" x14ac:dyDescent="0.3">
      <c r="P721" s="4">
        <v>3.5</v>
      </c>
    </row>
    <row r="722" spans="16:16" x14ac:dyDescent="0.3">
      <c r="P722" s="3">
        <v>3.5</v>
      </c>
    </row>
    <row r="723" spans="16:16" x14ac:dyDescent="0.3">
      <c r="P723" s="4">
        <v>3.5</v>
      </c>
    </row>
    <row r="724" spans="16:16" x14ac:dyDescent="0.3">
      <c r="P724" s="3">
        <v>3.5</v>
      </c>
    </row>
    <row r="725" spans="16:16" x14ac:dyDescent="0.3">
      <c r="P725" s="4">
        <v>3.5</v>
      </c>
    </row>
    <row r="726" spans="16:16" x14ac:dyDescent="0.3">
      <c r="P726" s="3">
        <v>3.5</v>
      </c>
    </row>
    <row r="727" spans="16:16" x14ac:dyDescent="0.3">
      <c r="P727" s="4">
        <v>3.5</v>
      </c>
    </row>
    <row r="728" spans="16:16" x14ac:dyDescent="0.3">
      <c r="P728" s="3">
        <v>4</v>
      </c>
    </row>
    <row r="729" spans="16:16" x14ac:dyDescent="0.3">
      <c r="P729" s="4">
        <v>4</v>
      </c>
    </row>
    <row r="730" spans="16:16" x14ac:dyDescent="0.3">
      <c r="P730" s="3">
        <v>4</v>
      </c>
    </row>
    <row r="731" spans="16:16" x14ac:dyDescent="0.3">
      <c r="P731" s="4">
        <v>4</v>
      </c>
    </row>
    <row r="732" spans="16:16" x14ac:dyDescent="0.3">
      <c r="P732" s="3">
        <v>4</v>
      </c>
    </row>
    <row r="733" spans="16:16" x14ac:dyDescent="0.3">
      <c r="P733" s="4">
        <v>4</v>
      </c>
    </row>
    <row r="734" spans="16:16" x14ac:dyDescent="0.3">
      <c r="P734" s="3">
        <v>4</v>
      </c>
    </row>
    <row r="735" spans="16:16" x14ac:dyDescent="0.3">
      <c r="P735" s="4">
        <v>4</v>
      </c>
    </row>
    <row r="736" spans="16:16" x14ac:dyDescent="0.3">
      <c r="P736" s="3">
        <v>4</v>
      </c>
    </row>
    <row r="737" spans="16:16" x14ac:dyDescent="0.3">
      <c r="P737" s="4">
        <v>4</v>
      </c>
    </row>
    <row r="738" spans="16:16" x14ac:dyDescent="0.3">
      <c r="P738" s="3">
        <v>4</v>
      </c>
    </row>
    <row r="739" spans="16:16" x14ac:dyDescent="0.3">
      <c r="P739" s="4">
        <v>4</v>
      </c>
    </row>
    <row r="740" spans="16:16" x14ac:dyDescent="0.3">
      <c r="P740" s="3">
        <v>4</v>
      </c>
    </row>
    <row r="741" spans="16:16" x14ac:dyDescent="0.3">
      <c r="P741" s="4">
        <v>4</v>
      </c>
    </row>
    <row r="742" spans="16:16" x14ac:dyDescent="0.3">
      <c r="P742" s="3">
        <v>4</v>
      </c>
    </row>
    <row r="743" spans="16:16" x14ac:dyDescent="0.3">
      <c r="P743" s="4">
        <v>4</v>
      </c>
    </row>
    <row r="744" spans="16:16" x14ac:dyDescent="0.3">
      <c r="P744" s="3">
        <v>4</v>
      </c>
    </row>
    <row r="745" spans="16:16" x14ac:dyDescent="0.3">
      <c r="P745" s="4">
        <v>4</v>
      </c>
    </row>
    <row r="746" spans="16:16" x14ac:dyDescent="0.3">
      <c r="P746" s="3">
        <v>4</v>
      </c>
    </row>
    <row r="747" spans="16:16" x14ac:dyDescent="0.3">
      <c r="P747" s="4">
        <v>4</v>
      </c>
    </row>
    <row r="748" spans="16:16" x14ac:dyDescent="0.3">
      <c r="P748" s="3">
        <v>4</v>
      </c>
    </row>
    <row r="749" spans="16:16" x14ac:dyDescent="0.3">
      <c r="P749" s="4">
        <v>4</v>
      </c>
    </row>
    <row r="750" spans="16:16" x14ac:dyDescent="0.3">
      <c r="P750" s="3">
        <v>4</v>
      </c>
    </row>
    <row r="751" spans="16:16" x14ac:dyDescent="0.3">
      <c r="P751" s="4">
        <v>4</v>
      </c>
    </row>
    <row r="752" spans="16:16" x14ac:dyDescent="0.3">
      <c r="P752" s="3">
        <v>4</v>
      </c>
    </row>
    <row r="753" spans="16:16" x14ac:dyDescent="0.3">
      <c r="P753" s="4">
        <v>4</v>
      </c>
    </row>
    <row r="754" spans="16:16" x14ac:dyDescent="0.3">
      <c r="P754" s="3">
        <v>4</v>
      </c>
    </row>
    <row r="755" spans="16:16" x14ac:dyDescent="0.3">
      <c r="P755" s="4">
        <v>4</v>
      </c>
    </row>
    <row r="756" spans="16:16" x14ac:dyDescent="0.3">
      <c r="P756" s="3">
        <v>4</v>
      </c>
    </row>
    <row r="757" spans="16:16" x14ac:dyDescent="0.3">
      <c r="P757" s="4">
        <v>4</v>
      </c>
    </row>
    <row r="758" spans="16:16" x14ac:dyDescent="0.3">
      <c r="P758" s="3">
        <v>4</v>
      </c>
    </row>
    <row r="759" spans="16:16" x14ac:dyDescent="0.3">
      <c r="P759" s="4">
        <v>4</v>
      </c>
    </row>
    <row r="760" spans="16:16" x14ac:dyDescent="0.3">
      <c r="P760" s="3">
        <v>4</v>
      </c>
    </row>
    <row r="761" spans="16:16" x14ac:dyDescent="0.3">
      <c r="P761" s="4">
        <v>4</v>
      </c>
    </row>
    <row r="762" spans="16:16" x14ac:dyDescent="0.3">
      <c r="P762" s="3">
        <v>4</v>
      </c>
    </row>
    <row r="763" spans="16:16" x14ac:dyDescent="0.3">
      <c r="P763" s="4">
        <v>4</v>
      </c>
    </row>
    <row r="764" spans="16:16" x14ac:dyDescent="0.3">
      <c r="P764" s="3">
        <v>4</v>
      </c>
    </row>
    <row r="765" spans="16:16" x14ac:dyDescent="0.3">
      <c r="P765" s="4">
        <v>4</v>
      </c>
    </row>
    <row r="766" spans="16:16" x14ac:dyDescent="0.3">
      <c r="P766" s="3">
        <v>4</v>
      </c>
    </row>
    <row r="767" spans="16:16" x14ac:dyDescent="0.3">
      <c r="P767" s="4">
        <v>4</v>
      </c>
    </row>
    <row r="768" spans="16:16" x14ac:dyDescent="0.3">
      <c r="P768" s="3">
        <v>4</v>
      </c>
    </row>
    <row r="769" spans="16:16" x14ac:dyDescent="0.3">
      <c r="P769" s="4">
        <v>4</v>
      </c>
    </row>
    <row r="770" spans="16:16" x14ac:dyDescent="0.3">
      <c r="P770" s="3">
        <v>4</v>
      </c>
    </row>
    <row r="771" spans="16:16" x14ac:dyDescent="0.3">
      <c r="P771" s="4">
        <v>4</v>
      </c>
    </row>
    <row r="772" spans="16:16" x14ac:dyDescent="0.3">
      <c r="P772" s="3">
        <v>4</v>
      </c>
    </row>
    <row r="773" spans="16:16" x14ac:dyDescent="0.3">
      <c r="P773" s="4">
        <v>4</v>
      </c>
    </row>
    <row r="774" spans="16:16" x14ac:dyDescent="0.3">
      <c r="P774" s="3">
        <v>4</v>
      </c>
    </row>
    <row r="775" spans="16:16" x14ac:dyDescent="0.3">
      <c r="P775" s="4">
        <v>4</v>
      </c>
    </row>
    <row r="776" spans="16:16" x14ac:dyDescent="0.3">
      <c r="P776" s="3">
        <v>4</v>
      </c>
    </row>
    <row r="777" spans="16:16" x14ac:dyDescent="0.3">
      <c r="P777" s="4">
        <v>4</v>
      </c>
    </row>
    <row r="778" spans="16:16" x14ac:dyDescent="0.3">
      <c r="P778" s="3">
        <v>4</v>
      </c>
    </row>
    <row r="779" spans="16:16" x14ac:dyDescent="0.3">
      <c r="P779" s="4">
        <v>4</v>
      </c>
    </row>
    <row r="780" spans="16:16" x14ac:dyDescent="0.3">
      <c r="P780" s="3">
        <v>4</v>
      </c>
    </row>
    <row r="781" spans="16:16" x14ac:dyDescent="0.3">
      <c r="P781" s="4">
        <v>4</v>
      </c>
    </row>
    <row r="782" spans="16:16" x14ac:dyDescent="0.3">
      <c r="P782" s="3">
        <v>4</v>
      </c>
    </row>
    <row r="783" spans="16:16" x14ac:dyDescent="0.3">
      <c r="P783" s="4">
        <v>4</v>
      </c>
    </row>
    <row r="784" spans="16:16" x14ac:dyDescent="0.3">
      <c r="P784" s="3">
        <v>4</v>
      </c>
    </row>
    <row r="785" spans="16:16" x14ac:dyDescent="0.3">
      <c r="P785" s="4">
        <v>4</v>
      </c>
    </row>
    <row r="786" spans="16:16" x14ac:dyDescent="0.3">
      <c r="P786" s="3">
        <v>4</v>
      </c>
    </row>
    <row r="787" spans="16:16" x14ac:dyDescent="0.3">
      <c r="P787" s="4">
        <v>4</v>
      </c>
    </row>
    <row r="788" spans="16:16" x14ac:dyDescent="0.3">
      <c r="P788" s="3">
        <v>4</v>
      </c>
    </row>
    <row r="789" spans="16:16" x14ac:dyDescent="0.3">
      <c r="P789" s="4">
        <v>4</v>
      </c>
    </row>
    <row r="790" spans="16:16" x14ac:dyDescent="0.3">
      <c r="P790" s="3">
        <v>4</v>
      </c>
    </row>
    <row r="791" spans="16:16" x14ac:dyDescent="0.3">
      <c r="P791" s="4">
        <v>4</v>
      </c>
    </row>
    <row r="792" spans="16:16" x14ac:dyDescent="0.3">
      <c r="P792" s="3">
        <v>4</v>
      </c>
    </row>
    <row r="793" spans="16:16" x14ac:dyDescent="0.3">
      <c r="P793" s="4">
        <v>4</v>
      </c>
    </row>
    <row r="794" spans="16:16" x14ac:dyDescent="0.3">
      <c r="P794" s="3">
        <v>4</v>
      </c>
    </row>
    <row r="795" spans="16:16" x14ac:dyDescent="0.3">
      <c r="P795" s="4">
        <v>4</v>
      </c>
    </row>
    <row r="796" spans="16:16" x14ac:dyDescent="0.3">
      <c r="P796" s="3">
        <v>4</v>
      </c>
    </row>
    <row r="797" spans="16:16" x14ac:dyDescent="0.3">
      <c r="P797" s="4">
        <v>4</v>
      </c>
    </row>
    <row r="798" spans="16:16" x14ac:dyDescent="0.3">
      <c r="P798" s="3">
        <v>4</v>
      </c>
    </row>
    <row r="799" spans="16:16" x14ac:dyDescent="0.3">
      <c r="P799" s="4">
        <v>4</v>
      </c>
    </row>
    <row r="800" spans="16:16" x14ac:dyDescent="0.3">
      <c r="P800" s="3">
        <v>4</v>
      </c>
    </row>
    <row r="801" spans="16:16" x14ac:dyDescent="0.3">
      <c r="P801" s="4">
        <v>4</v>
      </c>
    </row>
    <row r="802" spans="16:16" x14ac:dyDescent="0.3">
      <c r="P802" s="3">
        <v>4</v>
      </c>
    </row>
    <row r="803" spans="16:16" x14ac:dyDescent="0.3">
      <c r="P803" s="4">
        <v>4</v>
      </c>
    </row>
    <row r="804" spans="16:16" x14ac:dyDescent="0.3">
      <c r="P804" s="3">
        <v>4</v>
      </c>
    </row>
    <row r="805" spans="16:16" x14ac:dyDescent="0.3">
      <c r="P805" s="4">
        <v>4</v>
      </c>
    </row>
    <row r="806" spans="16:16" x14ac:dyDescent="0.3">
      <c r="P806" s="3">
        <v>4</v>
      </c>
    </row>
    <row r="807" spans="16:16" x14ac:dyDescent="0.3">
      <c r="P807" s="4">
        <v>4</v>
      </c>
    </row>
    <row r="808" spans="16:16" x14ac:dyDescent="0.3">
      <c r="P808" s="3">
        <v>4</v>
      </c>
    </row>
    <row r="809" spans="16:16" x14ac:dyDescent="0.3">
      <c r="P809" s="4">
        <v>4</v>
      </c>
    </row>
    <row r="810" spans="16:16" x14ac:dyDescent="0.3">
      <c r="P810" s="3">
        <v>4</v>
      </c>
    </row>
    <row r="811" spans="16:16" x14ac:dyDescent="0.3">
      <c r="P811" s="4">
        <v>4</v>
      </c>
    </row>
    <row r="812" spans="16:16" x14ac:dyDescent="0.3">
      <c r="P812" s="3">
        <v>4</v>
      </c>
    </row>
    <row r="813" spans="16:16" x14ac:dyDescent="0.3">
      <c r="P813" s="4">
        <v>4</v>
      </c>
    </row>
    <row r="814" spans="16:16" x14ac:dyDescent="0.3">
      <c r="P814" s="3">
        <v>4</v>
      </c>
    </row>
    <row r="815" spans="16:16" x14ac:dyDescent="0.3">
      <c r="P815" s="4">
        <v>4</v>
      </c>
    </row>
    <row r="816" spans="16:16" x14ac:dyDescent="0.3">
      <c r="P816" s="3">
        <v>4</v>
      </c>
    </row>
    <row r="817" spans="16:16" x14ac:dyDescent="0.3">
      <c r="P817" s="4">
        <v>4</v>
      </c>
    </row>
    <row r="818" spans="16:16" x14ac:dyDescent="0.3">
      <c r="P818" s="3">
        <v>4</v>
      </c>
    </row>
    <row r="819" spans="16:16" x14ac:dyDescent="0.3">
      <c r="P819" s="4">
        <v>4</v>
      </c>
    </row>
    <row r="820" spans="16:16" x14ac:dyDescent="0.3">
      <c r="P820" s="3">
        <v>4</v>
      </c>
    </row>
    <row r="821" spans="16:16" x14ac:dyDescent="0.3">
      <c r="P821" s="4">
        <v>4</v>
      </c>
    </row>
    <row r="822" spans="16:16" x14ac:dyDescent="0.3">
      <c r="P822" s="3">
        <v>4</v>
      </c>
    </row>
    <row r="823" spans="16:16" x14ac:dyDescent="0.3">
      <c r="P823" s="4">
        <v>4</v>
      </c>
    </row>
    <row r="824" spans="16:16" x14ac:dyDescent="0.3">
      <c r="P824" s="3">
        <v>4</v>
      </c>
    </row>
    <row r="825" spans="16:16" x14ac:dyDescent="0.3">
      <c r="P825" s="4">
        <v>4</v>
      </c>
    </row>
    <row r="826" spans="16:16" x14ac:dyDescent="0.3">
      <c r="P826" s="3">
        <v>4</v>
      </c>
    </row>
    <row r="827" spans="16:16" x14ac:dyDescent="0.3">
      <c r="P827" s="4">
        <v>4</v>
      </c>
    </row>
    <row r="828" spans="16:16" x14ac:dyDescent="0.3">
      <c r="P828" s="3">
        <v>4</v>
      </c>
    </row>
    <row r="829" spans="16:16" x14ac:dyDescent="0.3">
      <c r="P829" s="4">
        <v>4</v>
      </c>
    </row>
    <row r="830" spans="16:16" x14ac:dyDescent="0.3">
      <c r="P830" s="3">
        <v>4</v>
      </c>
    </row>
    <row r="831" spans="16:16" x14ac:dyDescent="0.3">
      <c r="P831" s="4">
        <v>4</v>
      </c>
    </row>
    <row r="832" spans="16:16" x14ac:dyDescent="0.3">
      <c r="P832" s="3">
        <v>4</v>
      </c>
    </row>
    <row r="833" spans="16:16" x14ac:dyDescent="0.3">
      <c r="P833" s="4">
        <v>4</v>
      </c>
    </row>
    <row r="834" spans="16:16" x14ac:dyDescent="0.3">
      <c r="P834" s="3">
        <v>4</v>
      </c>
    </row>
    <row r="835" spans="16:16" x14ac:dyDescent="0.3">
      <c r="P835" s="4">
        <v>4</v>
      </c>
    </row>
    <row r="836" spans="16:16" x14ac:dyDescent="0.3">
      <c r="P836" s="3">
        <v>4</v>
      </c>
    </row>
    <row r="837" spans="16:16" x14ac:dyDescent="0.3">
      <c r="P837" s="4">
        <v>4</v>
      </c>
    </row>
    <row r="838" spans="16:16" x14ac:dyDescent="0.3">
      <c r="P838" s="3">
        <v>4</v>
      </c>
    </row>
    <row r="839" spans="16:16" x14ac:dyDescent="0.3">
      <c r="P839" s="4">
        <v>4</v>
      </c>
    </row>
    <row r="840" spans="16:16" x14ac:dyDescent="0.3">
      <c r="P840" s="3">
        <v>4</v>
      </c>
    </row>
    <row r="841" spans="16:16" x14ac:dyDescent="0.3">
      <c r="P841" s="4">
        <v>4</v>
      </c>
    </row>
    <row r="842" spans="16:16" x14ac:dyDescent="0.3">
      <c r="P842" s="3">
        <v>4</v>
      </c>
    </row>
    <row r="843" spans="16:16" x14ac:dyDescent="0.3">
      <c r="P843" s="4">
        <v>4</v>
      </c>
    </row>
    <row r="844" spans="16:16" x14ac:dyDescent="0.3">
      <c r="P844" s="3">
        <v>4</v>
      </c>
    </row>
    <row r="845" spans="16:16" x14ac:dyDescent="0.3">
      <c r="P845" s="4">
        <v>4</v>
      </c>
    </row>
    <row r="846" spans="16:16" x14ac:dyDescent="0.3">
      <c r="P846" s="3">
        <v>4</v>
      </c>
    </row>
    <row r="847" spans="16:16" x14ac:dyDescent="0.3">
      <c r="P847" s="4">
        <v>4</v>
      </c>
    </row>
    <row r="848" spans="16:16" x14ac:dyDescent="0.3">
      <c r="P848" s="3">
        <v>4</v>
      </c>
    </row>
    <row r="849" spans="16:16" x14ac:dyDescent="0.3">
      <c r="P849" s="4">
        <v>4</v>
      </c>
    </row>
    <row r="850" spans="16:16" x14ac:dyDescent="0.3">
      <c r="P850" s="3">
        <v>4.5</v>
      </c>
    </row>
    <row r="851" spans="16:16" x14ac:dyDescent="0.3">
      <c r="P851" s="4">
        <v>4.5</v>
      </c>
    </row>
    <row r="852" spans="16:16" x14ac:dyDescent="0.3">
      <c r="P852" s="3">
        <v>5</v>
      </c>
    </row>
    <row r="853" spans="16:16" x14ac:dyDescent="0.3">
      <c r="P853" s="4">
        <v>5</v>
      </c>
    </row>
    <row r="854" spans="16:16" x14ac:dyDescent="0.3">
      <c r="P854" s="3">
        <v>5</v>
      </c>
    </row>
    <row r="855" spans="16:16" x14ac:dyDescent="0.3">
      <c r="P855" s="4">
        <v>5</v>
      </c>
    </row>
    <row r="856" spans="16:16" x14ac:dyDescent="0.3">
      <c r="P856" s="3">
        <v>5</v>
      </c>
    </row>
    <row r="857" spans="16:16" x14ac:dyDescent="0.3">
      <c r="P857" s="4">
        <v>5</v>
      </c>
    </row>
    <row r="858" spans="16:16" x14ac:dyDescent="0.3">
      <c r="P858" s="3">
        <v>5</v>
      </c>
    </row>
    <row r="859" spans="16:16" x14ac:dyDescent="0.3">
      <c r="P859" s="4">
        <v>5</v>
      </c>
    </row>
    <row r="860" spans="16:16" x14ac:dyDescent="0.3">
      <c r="P860" s="3">
        <v>5</v>
      </c>
    </row>
    <row r="861" spans="16:16" x14ac:dyDescent="0.3">
      <c r="P861" s="4">
        <v>5</v>
      </c>
    </row>
    <row r="862" spans="16:16" x14ac:dyDescent="0.3">
      <c r="P862" s="3">
        <v>5</v>
      </c>
    </row>
    <row r="863" spans="16:16" x14ac:dyDescent="0.3">
      <c r="P863" s="4">
        <v>5</v>
      </c>
    </row>
    <row r="864" spans="16:16" x14ac:dyDescent="0.3">
      <c r="P864" s="3">
        <v>5</v>
      </c>
    </row>
    <row r="865" spans="16:16" x14ac:dyDescent="0.3">
      <c r="P865" s="4">
        <v>5</v>
      </c>
    </row>
    <row r="866" spans="16:16" x14ac:dyDescent="0.3">
      <c r="P866" s="3">
        <v>5</v>
      </c>
    </row>
    <row r="867" spans="16:16" x14ac:dyDescent="0.3">
      <c r="P867" s="4">
        <v>5</v>
      </c>
    </row>
    <row r="868" spans="16:16" x14ac:dyDescent="0.3">
      <c r="P868" s="3">
        <v>5</v>
      </c>
    </row>
    <row r="869" spans="16:16" x14ac:dyDescent="0.3">
      <c r="P869" s="4">
        <v>5</v>
      </c>
    </row>
    <row r="870" spans="16:16" x14ac:dyDescent="0.3">
      <c r="P870" s="3">
        <v>5</v>
      </c>
    </row>
    <row r="871" spans="16:16" x14ac:dyDescent="0.3">
      <c r="P871" s="4">
        <v>5</v>
      </c>
    </row>
    <row r="872" spans="16:16" x14ac:dyDescent="0.3">
      <c r="P872" s="3">
        <v>5</v>
      </c>
    </row>
    <row r="873" spans="16:16" x14ac:dyDescent="0.3">
      <c r="P873" s="4">
        <v>5</v>
      </c>
    </row>
    <row r="874" spans="16:16" x14ac:dyDescent="0.3">
      <c r="P874" s="3">
        <v>5</v>
      </c>
    </row>
    <row r="875" spans="16:16" x14ac:dyDescent="0.3">
      <c r="P875" s="4">
        <v>5</v>
      </c>
    </row>
    <row r="876" spans="16:16" x14ac:dyDescent="0.3">
      <c r="P876" s="3">
        <v>5</v>
      </c>
    </row>
    <row r="877" spans="16:16" x14ac:dyDescent="0.3">
      <c r="P877" s="4">
        <v>5</v>
      </c>
    </row>
    <row r="878" spans="16:16" x14ac:dyDescent="0.3">
      <c r="P878" s="3">
        <v>5</v>
      </c>
    </row>
    <row r="879" spans="16:16" x14ac:dyDescent="0.3">
      <c r="P879" s="4">
        <v>5</v>
      </c>
    </row>
    <row r="880" spans="16:16" x14ac:dyDescent="0.3">
      <c r="P880" s="3">
        <v>5</v>
      </c>
    </row>
    <row r="881" spans="16:16" x14ac:dyDescent="0.3">
      <c r="P881" s="4">
        <v>5</v>
      </c>
    </row>
    <row r="882" spans="16:16" x14ac:dyDescent="0.3">
      <c r="P882" s="3">
        <v>5</v>
      </c>
    </row>
    <row r="883" spans="16:16" x14ac:dyDescent="0.3">
      <c r="P883" s="4">
        <v>5</v>
      </c>
    </row>
    <row r="884" spans="16:16" x14ac:dyDescent="0.3">
      <c r="P884" s="3">
        <v>5</v>
      </c>
    </row>
    <row r="885" spans="16:16" x14ac:dyDescent="0.3">
      <c r="P885" s="4">
        <v>5</v>
      </c>
    </row>
    <row r="886" spans="16:16" x14ac:dyDescent="0.3">
      <c r="P886" s="3">
        <v>5</v>
      </c>
    </row>
    <row r="887" spans="16:16" x14ac:dyDescent="0.3">
      <c r="P887" s="4">
        <v>5</v>
      </c>
    </row>
    <row r="888" spans="16:16" x14ac:dyDescent="0.3">
      <c r="P888" s="3">
        <v>5</v>
      </c>
    </row>
    <row r="889" spans="16:16" x14ac:dyDescent="0.3">
      <c r="P889" s="4">
        <v>5</v>
      </c>
    </row>
    <row r="890" spans="16:16" x14ac:dyDescent="0.3">
      <c r="P890" s="3">
        <v>5</v>
      </c>
    </row>
    <row r="891" spans="16:16" x14ac:dyDescent="0.3">
      <c r="P891" s="4">
        <v>5</v>
      </c>
    </row>
    <row r="892" spans="16:16" x14ac:dyDescent="0.3">
      <c r="P892" s="3">
        <v>5</v>
      </c>
    </row>
    <row r="893" spans="16:16" x14ac:dyDescent="0.3">
      <c r="P893" s="4">
        <v>5</v>
      </c>
    </row>
    <row r="894" spans="16:16" x14ac:dyDescent="0.3">
      <c r="P894" s="3">
        <v>5</v>
      </c>
    </row>
    <row r="895" spans="16:16" x14ac:dyDescent="0.3">
      <c r="P895" s="4">
        <v>5</v>
      </c>
    </row>
    <row r="896" spans="16:16" x14ac:dyDescent="0.3">
      <c r="P896" s="3">
        <v>5</v>
      </c>
    </row>
    <row r="897" spans="16:16" x14ac:dyDescent="0.3">
      <c r="P897" s="4">
        <v>5</v>
      </c>
    </row>
    <row r="898" spans="16:16" x14ac:dyDescent="0.3">
      <c r="P898" s="3">
        <v>5</v>
      </c>
    </row>
    <row r="899" spans="16:16" x14ac:dyDescent="0.3">
      <c r="P899" s="4">
        <v>5</v>
      </c>
    </row>
    <row r="900" spans="16:16" x14ac:dyDescent="0.3">
      <c r="P900" s="3">
        <v>5</v>
      </c>
    </row>
    <row r="901" spans="16:16" x14ac:dyDescent="0.3">
      <c r="P901" s="4">
        <v>5</v>
      </c>
    </row>
    <row r="902" spans="16:16" x14ac:dyDescent="0.3">
      <c r="P902" s="3">
        <v>5</v>
      </c>
    </row>
    <row r="903" spans="16:16" x14ac:dyDescent="0.3">
      <c r="P903" s="4">
        <v>5</v>
      </c>
    </row>
    <row r="904" spans="16:16" x14ac:dyDescent="0.3">
      <c r="P904" s="3">
        <v>5</v>
      </c>
    </row>
    <row r="905" spans="16:16" x14ac:dyDescent="0.3">
      <c r="P905" s="4">
        <v>5</v>
      </c>
    </row>
    <row r="906" spans="16:16" x14ac:dyDescent="0.3">
      <c r="P906" s="3">
        <v>5</v>
      </c>
    </row>
    <row r="907" spans="16:16" x14ac:dyDescent="0.3">
      <c r="P907" s="4">
        <v>5</v>
      </c>
    </row>
    <row r="908" spans="16:16" x14ac:dyDescent="0.3">
      <c r="P908" s="3">
        <v>5</v>
      </c>
    </row>
    <row r="909" spans="16:16" x14ac:dyDescent="0.3">
      <c r="P909" s="4">
        <v>5</v>
      </c>
    </row>
    <row r="910" spans="16:16" x14ac:dyDescent="0.3">
      <c r="P910" s="3">
        <v>5</v>
      </c>
    </row>
    <row r="911" spans="16:16" x14ac:dyDescent="0.3">
      <c r="P911" s="4">
        <v>5</v>
      </c>
    </row>
    <row r="912" spans="16:16" x14ac:dyDescent="0.3">
      <c r="P912" s="3">
        <v>5</v>
      </c>
    </row>
    <row r="913" spans="16:16" x14ac:dyDescent="0.3">
      <c r="P913" s="4">
        <v>5</v>
      </c>
    </row>
    <row r="914" spans="16:16" x14ac:dyDescent="0.3">
      <c r="P914" s="3">
        <v>5</v>
      </c>
    </row>
    <row r="915" spans="16:16" x14ac:dyDescent="0.3">
      <c r="P915" s="4">
        <v>5</v>
      </c>
    </row>
    <row r="916" spans="16:16" x14ac:dyDescent="0.3">
      <c r="P916" s="3">
        <v>5</v>
      </c>
    </row>
    <row r="917" spans="16:16" x14ac:dyDescent="0.3">
      <c r="P917" s="4">
        <v>5</v>
      </c>
    </row>
    <row r="918" spans="16:16" x14ac:dyDescent="0.3">
      <c r="P918" s="3">
        <v>5</v>
      </c>
    </row>
    <row r="919" spans="16:16" x14ac:dyDescent="0.3">
      <c r="P919" s="4">
        <v>5</v>
      </c>
    </row>
    <row r="920" spans="16:16" x14ac:dyDescent="0.3">
      <c r="P920" s="3">
        <v>5</v>
      </c>
    </row>
    <row r="921" spans="16:16" x14ac:dyDescent="0.3">
      <c r="P921" s="4">
        <v>5</v>
      </c>
    </row>
    <row r="922" spans="16:16" x14ac:dyDescent="0.3">
      <c r="P922" s="3">
        <v>5</v>
      </c>
    </row>
    <row r="923" spans="16:16" x14ac:dyDescent="0.3">
      <c r="P923" s="4">
        <v>5</v>
      </c>
    </row>
    <row r="924" spans="16:16" x14ac:dyDescent="0.3">
      <c r="P924" s="3">
        <v>5</v>
      </c>
    </row>
    <row r="925" spans="16:16" x14ac:dyDescent="0.3">
      <c r="P925" s="4">
        <v>5</v>
      </c>
    </row>
    <row r="926" spans="16:16" x14ac:dyDescent="0.3">
      <c r="P926" s="3">
        <v>5</v>
      </c>
    </row>
    <row r="927" spans="16:16" x14ac:dyDescent="0.3">
      <c r="P927" s="4">
        <v>5</v>
      </c>
    </row>
    <row r="928" spans="16:16" x14ac:dyDescent="0.3">
      <c r="P928" s="3">
        <v>5</v>
      </c>
    </row>
    <row r="929" spans="16:16" x14ac:dyDescent="0.3">
      <c r="P929" s="4">
        <v>5</v>
      </c>
    </row>
    <row r="930" spans="16:16" x14ac:dyDescent="0.3">
      <c r="P930" s="3">
        <v>5</v>
      </c>
    </row>
    <row r="931" spans="16:16" x14ac:dyDescent="0.3">
      <c r="P931" s="4">
        <v>5</v>
      </c>
    </row>
    <row r="932" spans="16:16" x14ac:dyDescent="0.3">
      <c r="P932" s="3">
        <v>5</v>
      </c>
    </row>
    <row r="933" spans="16:16" x14ac:dyDescent="0.3">
      <c r="P933" s="4">
        <v>5</v>
      </c>
    </row>
    <row r="934" spans="16:16" x14ac:dyDescent="0.3">
      <c r="P934" s="3">
        <v>5</v>
      </c>
    </row>
    <row r="935" spans="16:16" x14ac:dyDescent="0.3">
      <c r="P935" s="4">
        <v>5</v>
      </c>
    </row>
    <row r="936" spans="16:16" x14ac:dyDescent="0.3">
      <c r="P936" s="3">
        <v>5</v>
      </c>
    </row>
    <row r="937" spans="16:16" x14ac:dyDescent="0.3">
      <c r="P937" s="4">
        <v>5</v>
      </c>
    </row>
    <row r="938" spans="16:16" x14ac:dyDescent="0.3">
      <c r="P938" s="3">
        <v>5</v>
      </c>
    </row>
    <row r="939" spans="16:16" x14ac:dyDescent="0.3">
      <c r="P939" s="4">
        <v>5</v>
      </c>
    </row>
    <row r="940" spans="16:16" x14ac:dyDescent="0.3">
      <c r="P940" s="3">
        <v>5</v>
      </c>
    </row>
    <row r="941" spans="16:16" x14ac:dyDescent="0.3">
      <c r="P941" s="4">
        <v>5</v>
      </c>
    </row>
    <row r="942" spans="16:16" x14ac:dyDescent="0.3">
      <c r="P942" s="3">
        <v>5</v>
      </c>
    </row>
    <row r="943" spans="16:16" x14ac:dyDescent="0.3">
      <c r="P943" s="4">
        <v>5</v>
      </c>
    </row>
    <row r="944" spans="16:16" x14ac:dyDescent="0.3">
      <c r="P944" s="3">
        <v>5</v>
      </c>
    </row>
    <row r="945" spans="16:16" x14ac:dyDescent="0.3">
      <c r="P945" s="4">
        <v>5</v>
      </c>
    </row>
    <row r="946" spans="16:16" x14ac:dyDescent="0.3">
      <c r="P946" s="3">
        <v>5</v>
      </c>
    </row>
    <row r="947" spans="16:16" x14ac:dyDescent="0.3">
      <c r="P947" s="4">
        <v>5</v>
      </c>
    </row>
    <row r="948" spans="16:16" x14ac:dyDescent="0.3">
      <c r="P948" s="3">
        <v>5</v>
      </c>
    </row>
    <row r="949" spans="16:16" x14ac:dyDescent="0.3">
      <c r="P949" s="4">
        <v>5</v>
      </c>
    </row>
    <row r="950" spans="16:16" x14ac:dyDescent="0.3">
      <c r="P950" s="3">
        <v>5</v>
      </c>
    </row>
    <row r="951" spans="16:16" x14ac:dyDescent="0.3">
      <c r="P951" s="4">
        <v>5</v>
      </c>
    </row>
    <row r="952" spans="16:16" x14ac:dyDescent="0.3">
      <c r="P952" s="3">
        <v>5</v>
      </c>
    </row>
    <row r="953" spans="16:16" x14ac:dyDescent="0.3">
      <c r="P953" s="4">
        <v>5</v>
      </c>
    </row>
    <row r="954" spans="16:16" x14ac:dyDescent="0.3">
      <c r="P954" s="3">
        <v>5</v>
      </c>
    </row>
    <row r="955" spans="16:16" x14ac:dyDescent="0.3">
      <c r="P955" s="4">
        <v>5</v>
      </c>
    </row>
    <row r="956" spans="16:16" x14ac:dyDescent="0.3">
      <c r="P956" s="3">
        <v>5</v>
      </c>
    </row>
    <row r="957" spans="16:16" x14ac:dyDescent="0.3">
      <c r="P957" s="4">
        <v>5</v>
      </c>
    </row>
    <row r="958" spans="16:16" x14ac:dyDescent="0.3">
      <c r="P958" s="3">
        <v>5</v>
      </c>
    </row>
    <row r="959" spans="16:16" x14ac:dyDescent="0.3">
      <c r="P959" s="4">
        <v>5</v>
      </c>
    </row>
    <row r="960" spans="16:16" x14ac:dyDescent="0.3">
      <c r="P960" s="3">
        <v>5</v>
      </c>
    </row>
    <row r="961" spans="16:16" x14ac:dyDescent="0.3">
      <c r="P961" s="4">
        <v>5</v>
      </c>
    </row>
    <row r="962" spans="16:16" x14ac:dyDescent="0.3">
      <c r="P962" s="3">
        <v>5</v>
      </c>
    </row>
    <row r="963" spans="16:16" x14ac:dyDescent="0.3">
      <c r="P963" s="4">
        <v>5</v>
      </c>
    </row>
    <row r="964" spans="16:16" x14ac:dyDescent="0.3">
      <c r="P964" s="3">
        <v>5</v>
      </c>
    </row>
    <row r="965" spans="16:16" x14ac:dyDescent="0.3">
      <c r="P965" s="4">
        <v>5</v>
      </c>
    </row>
    <row r="966" spans="16:16" x14ac:dyDescent="0.3">
      <c r="P966" s="3">
        <v>5</v>
      </c>
    </row>
    <row r="967" spans="16:16" x14ac:dyDescent="0.3">
      <c r="P967" s="4">
        <v>5</v>
      </c>
    </row>
    <row r="968" spans="16:16" x14ac:dyDescent="0.3">
      <c r="P968" s="3">
        <v>5</v>
      </c>
    </row>
    <row r="969" spans="16:16" x14ac:dyDescent="0.3">
      <c r="P969" s="4">
        <v>5</v>
      </c>
    </row>
    <row r="970" spans="16:16" x14ac:dyDescent="0.3">
      <c r="P970" s="3">
        <v>5</v>
      </c>
    </row>
    <row r="971" spans="16:16" x14ac:dyDescent="0.3">
      <c r="P971" s="4">
        <v>5</v>
      </c>
    </row>
    <row r="972" spans="16:16" x14ac:dyDescent="0.3">
      <c r="P972" s="3">
        <v>5</v>
      </c>
    </row>
    <row r="973" spans="16:16" x14ac:dyDescent="0.3">
      <c r="P973" s="4">
        <v>5</v>
      </c>
    </row>
    <row r="974" spans="16:16" x14ac:dyDescent="0.3">
      <c r="P974" s="3">
        <v>5</v>
      </c>
    </row>
    <row r="975" spans="16:16" x14ac:dyDescent="0.3">
      <c r="P975" s="4">
        <v>5</v>
      </c>
    </row>
    <row r="976" spans="16:16" x14ac:dyDescent="0.3">
      <c r="P976" s="3">
        <v>5</v>
      </c>
    </row>
    <row r="977" spans="16:16" x14ac:dyDescent="0.3">
      <c r="P977" s="4">
        <v>5</v>
      </c>
    </row>
    <row r="978" spans="16:16" x14ac:dyDescent="0.3">
      <c r="P978" s="3">
        <v>5</v>
      </c>
    </row>
    <row r="979" spans="16:16" x14ac:dyDescent="0.3">
      <c r="P979" s="4">
        <v>5</v>
      </c>
    </row>
    <row r="980" spans="16:16" x14ac:dyDescent="0.3">
      <c r="P980" s="3">
        <v>5</v>
      </c>
    </row>
    <row r="981" spans="16:16" x14ac:dyDescent="0.3">
      <c r="P981" s="4">
        <v>5</v>
      </c>
    </row>
    <row r="982" spans="16:16" x14ac:dyDescent="0.3">
      <c r="P982" s="3">
        <v>5</v>
      </c>
    </row>
    <row r="983" spans="16:16" x14ac:dyDescent="0.3">
      <c r="P983" s="4">
        <v>5</v>
      </c>
    </row>
    <row r="984" spans="16:16" x14ac:dyDescent="0.3">
      <c r="P984" s="3">
        <v>5</v>
      </c>
    </row>
    <row r="985" spans="16:16" x14ac:dyDescent="0.3">
      <c r="P985" s="4">
        <v>5</v>
      </c>
    </row>
    <row r="986" spans="16:16" x14ac:dyDescent="0.3">
      <c r="P986" s="3">
        <v>5</v>
      </c>
    </row>
    <row r="987" spans="16:16" x14ac:dyDescent="0.3">
      <c r="P987" s="4">
        <v>5</v>
      </c>
    </row>
    <row r="988" spans="16:16" x14ac:dyDescent="0.3">
      <c r="P988" s="3">
        <v>5</v>
      </c>
    </row>
    <row r="989" spans="16:16" x14ac:dyDescent="0.3">
      <c r="P989" s="4">
        <v>5</v>
      </c>
    </row>
    <row r="990" spans="16:16" x14ac:dyDescent="0.3">
      <c r="P990" s="3">
        <v>5</v>
      </c>
    </row>
    <row r="991" spans="16:16" x14ac:dyDescent="0.3">
      <c r="P991" s="4">
        <v>5</v>
      </c>
    </row>
    <row r="992" spans="16:16" x14ac:dyDescent="0.3">
      <c r="P992" s="3">
        <v>5</v>
      </c>
    </row>
    <row r="993" spans="16:16" x14ac:dyDescent="0.3">
      <c r="P993" s="4">
        <v>5</v>
      </c>
    </row>
    <row r="994" spans="16:16" x14ac:dyDescent="0.3">
      <c r="P994" s="3">
        <v>6</v>
      </c>
    </row>
    <row r="995" spans="16:16" x14ac:dyDescent="0.3">
      <c r="P995" s="4">
        <v>6</v>
      </c>
    </row>
    <row r="996" spans="16:16" x14ac:dyDescent="0.3">
      <c r="P996" s="3">
        <v>6</v>
      </c>
    </row>
    <row r="997" spans="16:16" x14ac:dyDescent="0.3">
      <c r="P997" s="4">
        <v>6</v>
      </c>
    </row>
    <row r="998" spans="16:16" x14ac:dyDescent="0.3">
      <c r="P998" s="3">
        <v>6</v>
      </c>
    </row>
    <row r="999" spans="16:16" x14ac:dyDescent="0.3">
      <c r="P999" s="4">
        <v>6</v>
      </c>
    </row>
    <row r="1000" spans="16:16" x14ac:dyDescent="0.3">
      <c r="P1000" s="3">
        <v>6</v>
      </c>
    </row>
    <row r="1001" spans="16:16" x14ac:dyDescent="0.3">
      <c r="P1001" s="4">
        <v>6</v>
      </c>
    </row>
    <row r="1002" spans="16:16" x14ac:dyDescent="0.3">
      <c r="P1002" s="3">
        <v>6</v>
      </c>
    </row>
    <row r="1003" spans="16:16" x14ac:dyDescent="0.3">
      <c r="P1003" s="4">
        <v>6</v>
      </c>
    </row>
    <row r="1004" spans="16:16" x14ac:dyDescent="0.3">
      <c r="P1004" s="3">
        <v>6</v>
      </c>
    </row>
    <row r="1005" spans="16:16" x14ac:dyDescent="0.3">
      <c r="P1005" s="4">
        <v>6</v>
      </c>
    </row>
    <row r="1006" spans="16:16" x14ac:dyDescent="0.3">
      <c r="P1006" s="3">
        <v>6</v>
      </c>
    </row>
    <row r="1007" spans="16:16" x14ac:dyDescent="0.3">
      <c r="P1007" s="4">
        <v>6</v>
      </c>
    </row>
    <row r="1008" spans="16:16" x14ac:dyDescent="0.3">
      <c r="P1008" s="3">
        <v>6</v>
      </c>
    </row>
    <row r="1009" spans="16:16" x14ac:dyDescent="0.3">
      <c r="P1009" s="4">
        <v>6</v>
      </c>
    </row>
    <row r="1010" spans="16:16" x14ac:dyDescent="0.3">
      <c r="P1010" s="3">
        <v>6</v>
      </c>
    </row>
    <row r="1011" spans="16:16" x14ac:dyDescent="0.3">
      <c r="P1011" s="4">
        <v>6</v>
      </c>
    </row>
    <row r="1012" spans="16:16" x14ac:dyDescent="0.3">
      <c r="P1012" s="3">
        <v>6</v>
      </c>
    </row>
    <row r="1013" spans="16:16" x14ac:dyDescent="0.3">
      <c r="P1013" s="4">
        <v>6</v>
      </c>
    </row>
    <row r="1014" spans="16:16" x14ac:dyDescent="0.3">
      <c r="P1014" s="3">
        <v>6</v>
      </c>
    </row>
    <row r="1015" spans="16:16" x14ac:dyDescent="0.3">
      <c r="P1015" s="4">
        <v>6</v>
      </c>
    </row>
    <row r="1016" spans="16:16" x14ac:dyDescent="0.3">
      <c r="P1016" s="3">
        <v>6</v>
      </c>
    </row>
    <row r="1017" spans="16:16" x14ac:dyDescent="0.3">
      <c r="P1017" s="4">
        <v>6</v>
      </c>
    </row>
    <row r="1018" spans="16:16" x14ac:dyDescent="0.3">
      <c r="P1018" s="3">
        <v>6</v>
      </c>
    </row>
    <row r="1019" spans="16:16" x14ac:dyDescent="0.3">
      <c r="P1019" s="4">
        <v>6</v>
      </c>
    </row>
    <row r="1020" spans="16:16" x14ac:dyDescent="0.3">
      <c r="P1020" s="3">
        <v>6</v>
      </c>
    </row>
    <row r="1021" spans="16:16" x14ac:dyDescent="0.3">
      <c r="P1021" s="4">
        <v>6</v>
      </c>
    </row>
    <row r="1022" spans="16:16" x14ac:dyDescent="0.3">
      <c r="P1022" s="3">
        <v>6</v>
      </c>
    </row>
    <row r="1023" spans="16:16" x14ac:dyDescent="0.3">
      <c r="P1023" s="4">
        <v>6</v>
      </c>
    </row>
    <row r="1024" spans="16:16" x14ac:dyDescent="0.3">
      <c r="P1024" s="3">
        <v>6</v>
      </c>
    </row>
    <row r="1025" spans="16:16" x14ac:dyDescent="0.3">
      <c r="P1025" s="4">
        <v>6</v>
      </c>
    </row>
    <row r="1026" spans="16:16" x14ac:dyDescent="0.3">
      <c r="P1026" s="3">
        <v>6</v>
      </c>
    </row>
    <row r="1027" spans="16:16" x14ac:dyDescent="0.3">
      <c r="P1027" s="4">
        <v>6</v>
      </c>
    </row>
    <row r="1028" spans="16:16" x14ac:dyDescent="0.3">
      <c r="P1028" s="3">
        <v>6</v>
      </c>
    </row>
    <row r="1029" spans="16:16" x14ac:dyDescent="0.3">
      <c r="P1029" s="4">
        <v>6</v>
      </c>
    </row>
    <row r="1030" spans="16:16" x14ac:dyDescent="0.3">
      <c r="P1030" s="3">
        <v>6</v>
      </c>
    </row>
    <row r="1031" spans="16:16" x14ac:dyDescent="0.3">
      <c r="P1031" s="4">
        <v>6</v>
      </c>
    </row>
    <row r="1032" spans="16:16" x14ac:dyDescent="0.3">
      <c r="P1032" s="3">
        <v>6</v>
      </c>
    </row>
    <row r="1033" spans="16:16" x14ac:dyDescent="0.3">
      <c r="P1033" s="4">
        <v>6</v>
      </c>
    </row>
    <row r="1034" spans="16:16" x14ac:dyDescent="0.3">
      <c r="P1034" s="3">
        <v>6</v>
      </c>
    </row>
    <row r="1035" spans="16:16" x14ac:dyDescent="0.3">
      <c r="P1035" s="4">
        <v>6</v>
      </c>
    </row>
    <row r="1036" spans="16:16" x14ac:dyDescent="0.3">
      <c r="P1036" s="3">
        <v>6</v>
      </c>
    </row>
    <row r="1037" spans="16:16" x14ac:dyDescent="0.3">
      <c r="P1037" s="4">
        <v>6</v>
      </c>
    </row>
    <row r="1038" spans="16:16" x14ac:dyDescent="0.3">
      <c r="P1038" s="3">
        <v>6</v>
      </c>
    </row>
    <row r="1039" spans="16:16" x14ac:dyDescent="0.3">
      <c r="P1039" s="4">
        <v>6</v>
      </c>
    </row>
    <row r="1040" spans="16:16" x14ac:dyDescent="0.3">
      <c r="P1040" s="3">
        <v>6</v>
      </c>
    </row>
    <row r="1041" spans="16:16" x14ac:dyDescent="0.3">
      <c r="P1041" s="4">
        <v>6</v>
      </c>
    </row>
    <row r="1042" spans="16:16" x14ac:dyDescent="0.3">
      <c r="P1042" s="3">
        <v>6</v>
      </c>
    </row>
    <row r="1043" spans="16:16" x14ac:dyDescent="0.3">
      <c r="P1043" s="4">
        <v>6</v>
      </c>
    </row>
    <row r="1044" spans="16:16" x14ac:dyDescent="0.3">
      <c r="P1044" s="3">
        <v>6</v>
      </c>
    </row>
    <row r="1045" spans="16:16" x14ac:dyDescent="0.3">
      <c r="P1045" s="4">
        <v>6</v>
      </c>
    </row>
    <row r="1046" spans="16:16" x14ac:dyDescent="0.3">
      <c r="P1046" s="3">
        <v>6</v>
      </c>
    </row>
    <row r="1047" spans="16:16" x14ac:dyDescent="0.3">
      <c r="P1047" s="4">
        <v>6</v>
      </c>
    </row>
    <row r="1048" spans="16:16" x14ac:dyDescent="0.3">
      <c r="P1048" s="3">
        <v>6</v>
      </c>
    </row>
    <row r="1049" spans="16:16" x14ac:dyDescent="0.3">
      <c r="P1049" s="4">
        <v>6</v>
      </c>
    </row>
    <row r="1050" spans="16:16" x14ac:dyDescent="0.3">
      <c r="P1050" s="3">
        <v>6</v>
      </c>
    </row>
    <row r="1051" spans="16:16" x14ac:dyDescent="0.3">
      <c r="P1051" s="4">
        <v>6</v>
      </c>
    </row>
    <row r="1052" spans="16:16" x14ac:dyDescent="0.3">
      <c r="P1052" s="3">
        <v>6</v>
      </c>
    </row>
    <row r="1053" spans="16:16" x14ac:dyDescent="0.3">
      <c r="P1053" s="4">
        <v>6</v>
      </c>
    </row>
    <row r="1054" spans="16:16" x14ac:dyDescent="0.3">
      <c r="P1054" s="3">
        <v>6</v>
      </c>
    </row>
    <row r="1055" spans="16:16" x14ac:dyDescent="0.3">
      <c r="P1055" s="4">
        <v>6</v>
      </c>
    </row>
    <row r="1056" spans="16:16" x14ac:dyDescent="0.3">
      <c r="P1056" s="3">
        <v>6</v>
      </c>
    </row>
    <row r="1057" spans="16:16" x14ac:dyDescent="0.3">
      <c r="P1057" s="4">
        <v>6</v>
      </c>
    </row>
    <row r="1058" spans="16:16" x14ac:dyDescent="0.3">
      <c r="P1058" s="3">
        <v>6</v>
      </c>
    </row>
    <row r="1059" spans="16:16" x14ac:dyDescent="0.3">
      <c r="P1059" s="4">
        <v>6</v>
      </c>
    </row>
    <row r="1060" spans="16:16" x14ac:dyDescent="0.3">
      <c r="P1060" s="3">
        <v>6</v>
      </c>
    </row>
    <row r="1061" spans="16:16" x14ac:dyDescent="0.3">
      <c r="P1061" s="4">
        <v>6</v>
      </c>
    </row>
    <row r="1062" spans="16:16" x14ac:dyDescent="0.3">
      <c r="P1062" s="3">
        <v>6</v>
      </c>
    </row>
    <row r="1063" spans="16:16" x14ac:dyDescent="0.3">
      <c r="P1063" s="4">
        <v>6</v>
      </c>
    </row>
    <row r="1064" spans="16:16" x14ac:dyDescent="0.3">
      <c r="P1064" s="3">
        <v>6</v>
      </c>
    </row>
    <row r="1065" spans="16:16" x14ac:dyDescent="0.3">
      <c r="P1065" s="4">
        <v>7</v>
      </c>
    </row>
    <row r="1066" spans="16:16" x14ac:dyDescent="0.3">
      <c r="P1066" s="3">
        <v>7</v>
      </c>
    </row>
    <row r="1067" spans="16:16" x14ac:dyDescent="0.3">
      <c r="P1067" s="4">
        <v>7</v>
      </c>
    </row>
    <row r="1068" spans="16:16" x14ac:dyDescent="0.3">
      <c r="P1068" s="3">
        <v>7</v>
      </c>
    </row>
    <row r="1069" spans="16:16" x14ac:dyDescent="0.3">
      <c r="P1069" s="4">
        <v>7</v>
      </c>
    </row>
    <row r="1070" spans="16:16" x14ac:dyDescent="0.3">
      <c r="P1070" s="3">
        <v>7</v>
      </c>
    </row>
    <row r="1071" spans="16:16" x14ac:dyDescent="0.3">
      <c r="P1071" s="4">
        <v>7</v>
      </c>
    </row>
    <row r="1072" spans="16:16" x14ac:dyDescent="0.3">
      <c r="P1072" s="3">
        <v>7</v>
      </c>
    </row>
    <row r="1073" spans="16:16" x14ac:dyDescent="0.3">
      <c r="P1073" s="4">
        <v>7</v>
      </c>
    </row>
    <row r="1074" spans="16:16" x14ac:dyDescent="0.3">
      <c r="P1074" s="3">
        <v>7</v>
      </c>
    </row>
    <row r="1075" spans="16:16" x14ac:dyDescent="0.3">
      <c r="P1075" s="4">
        <v>7</v>
      </c>
    </row>
    <row r="1076" spans="16:16" x14ac:dyDescent="0.3">
      <c r="P1076" s="3">
        <v>7</v>
      </c>
    </row>
    <row r="1077" spans="16:16" x14ac:dyDescent="0.3">
      <c r="P1077" s="4">
        <v>7</v>
      </c>
    </row>
    <row r="1078" spans="16:16" x14ac:dyDescent="0.3">
      <c r="P1078" s="3">
        <v>7</v>
      </c>
    </row>
    <row r="1079" spans="16:16" x14ac:dyDescent="0.3">
      <c r="P1079" s="4">
        <v>7</v>
      </c>
    </row>
    <row r="1080" spans="16:16" x14ac:dyDescent="0.3">
      <c r="P1080" s="3">
        <v>7</v>
      </c>
    </row>
    <row r="1081" spans="16:16" x14ac:dyDescent="0.3">
      <c r="P1081" s="4">
        <v>7</v>
      </c>
    </row>
    <row r="1082" spans="16:16" x14ac:dyDescent="0.3">
      <c r="P1082" s="3">
        <v>7</v>
      </c>
    </row>
    <row r="1083" spans="16:16" x14ac:dyDescent="0.3">
      <c r="P1083" s="4">
        <v>7</v>
      </c>
    </row>
    <row r="1084" spans="16:16" x14ac:dyDescent="0.3">
      <c r="P1084" s="3">
        <v>7</v>
      </c>
    </row>
    <row r="1085" spans="16:16" x14ac:dyDescent="0.3">
      <c r="P1085" s="4">
        <v>7</v>
      </c>
    </row>
    <row r="1086" spans="16:16" x14ac:dyDescent="0.3">
      <c r="P1086" s="3">
        <v>7</v>
      </c>
    </row>
    <row r="1087" spans="16:16" x14ac:dyDescent="0.3">
      <c r="P1087" s="4">
        <v>7</v>
      </c>
    </row>
    <row r="1088" spans="16:16" x14ac:dyDescent="0.3">
      <c r="P1088" s="3">
        <v>7</v>
      </c>
    </row>
    <row r="1089" spans="16:16" x14ac:dyDescent="0.3">
      <c r="P1089" s="4">
        <v>7</v>
      </c>
    </row>
    <row r="1090" spans="16:16" x14ac:dyDescent="0.3">
      <c r="P1090" s="3">
        <v>7</v>
      </c>
    </row>
    <row r="1091" spans="16:16" x14ac:dyDescent="0.3">
      <c r="P1091" s="4">
        <v>7</v>
      </c>
    </row>
    <row r="1092" spans="16:16" x14ac:dyDescent="0.3">
      <c r="P1092" s="3">
        <v>7</v>
      </c>
    </row>
    <row r="1093" spans="16:16" x14ac:dyDescent="0.3">
      <c r="P1093" s="4">
        <v>7</v>
      </c>
    </row>
    <row r="1094" spans="16:16" x14ac:dyDescent="0.3">
      <c r="P1094" s="3">
        <v>7</v>
      </c>
    </row>
    <row r="1095" spans="16:16" x14ac:dyDescent="0.3">
      <c r="P1095" s="4">
        <v>7</v>
      </c>
    </row>
    <row r="1096" spans="16:16" x14ac:dyDescent="0.3">
      <c r="P1096" s="3">
        <v>7</v>
      </c>
    </row>
    <row r="1097" spans="16:16" x14ac:dyDescent="0.3">
      <c r="P1097" s="4">
        <v>7</v>
      </c>
    </row>
    <row r="1098" spans="16:16" x14ac:dyDescent="0.3">
      <c r="P1098" s="3">
        <v>7</v>
      </c>
    </row>
    <row r="1099" spans="16:16" x14ac:dyDescent="0.3">
      <c r="P1099" s="4">
        <v>7</v>
      </c>
    </row>
    <row r="1100" spans="16:16" x14ac:dyDescent="0.3">
      <c r="P1100" s="3">
        <v>7</v>
      </c>
    </row>
    <row r="1101" spans="16:16" x14ac:dyDescent="0.3">
      <c r="P1101" s="4">
        <v>7</v>
      </c>
    </row>
    <row r="1102" spans="16:16" x14ac:dyDescent="0.3">
      <c r="P1102" s="3">
        <v>8</v>
      </c>
    </row>
    <row r="1103" spans="16:16" x14ac:dyDescent="0.3">
      <c r="P1103" s="4">
        <v>8</v>
      </c>
    </row>
    <row r="1104" spans="16:16" x14ac:dyDescent="0.3">
      <c r="P1104" s="3">
        <v>8</v>
      </c>
    </row>
    <row r="1105" spans="16:16" x14ac:dyDescent="0.3">
      <c r="P1105" s="4">
        <v>8</v>
      </c>
    </row>
    <row r="1106" spans="16:16" x14ac:dyDescent="0.3">
      <c r="P1106" s="3">
        <v>8</v>
      </c>
    </row>
    <row r="1107" spans="16:16" x14ac:dyDescent="0.3">
      <c r="P1107" s="4">
        <v>8</v>
      </c>
    </row>
    <row r="1108" spans="16:16" x14ac:dyDescent="0.3">
      <c r="P1108" s="3">
        <v>8</v>
      </c>
    </row>
    <row r="1109" spans="16:16" x14ac:dyDescent="0.3">
      <c r="P1109" s="4">
        <v>8</v>
      </c>
    </row>
    <row r="1110" spans="16:16" x14ac:dyDescent="0.3">
      <c r="P1110" s="3">
        <v>8</v>
      </c>
    </row>
    <row r="1111" spans="16:16" x14ac:dyDescent="0.3">
      <c r="P1111" s="4">
        <v>8</v>
      </c>
    </row>
    <row r="1112" spans="16:16" x14ac:dyDescent="0.3">
      <c r="P1112" s="3">
        <v>8</v>
      </c>
    </row>
    <row r="1113" spans="16:16" x14ac:dyDescent="0.3">
      <c r="P1113" s="4">
        <v>8</v>
      </c>
    </row>
    <row r="1114" spans="16:16" x14ac:dyDescent="0.3">
      <c r="P1114" s="3">
        <v>8</v>
      </c>
    </row>
    <row r="1115" spans="16:16" x14ac:dyDescent="0.3">
      <c r="P1115" s="4">
        <v>8</v>
      </c>
    </row>
    <row r="1116" spans="16:16" x14ac:dyDescent="0.3">
      <c r="P1116" s="3">
        <v>8</v>
      </c>
    </row>
    <row r="1117" spans="16:16" x14ac:dyDescent="0.3">
      <c r="P1117" s="4">
        <v>8</v>
      </c>
    </row>
    <row r="1118" spans="16:16" x14ac:dyDescent="0.3">
      <c r="P1118" s="3">
        <v>8</v>
      </c>
    </row>
    <row r="1119" spans="16:16" x14ac:dyDescent="0.3">
      <c r="P1119" s="4">
        <v>9</v>
      </c>
    </row>
    <row r="1120" spans="16:16" x14ac:dyDescent="0.3">
      <c r="P1120" s="3">
        <v>9</v>
      </c>
    </row>
    <row r="1121" spans="16:16" x14ac:dyDescent="0.3">
      <c r="P1121" s="4">
        <v>9</v>
      </c>
    </row>
    <row r="1122" spans="16:16" x14ac:dyDescent="0.3">
      <c r="P1122" s="3">
        <v>9</v>
      </c>
    </row>
    <row r="1123" spans="16:16" x14ac:dyDescent="0.3">
      <c r="P1123" s="4">
        <v>9</v>
      </c>
    </row>
    <row r="1124" spans="16:16" x14ac:dyDescent="0.3">
      <c r="P1124" s="3">
        <v>9</v>
      </c>
    </row>
    <row r="1125" spans="16:16" x14ac:dyDescent="0.3">
      <c r="P1125" s="4">
        <v>9</v>
      </c>
    </row>
    <row r="1126" spans="16:16" x14ac:dyDescent="0.3">
      <c r="P1126" s="3">
        <v>9</v>
      </c>
    </row>
    <row r="1127" spans="16:16" x14ac:dyDescent="0.3">
      <c r="P1127" s="4">
        <v>9</v>
      </c>
    </row>
    <row r="1128" spans="16:16" x14ac:dyDescent="0.3">
      <c r="P1128" s="3">
        <v>9</v>
      </c>
    </row>
    <row r="1129" spans="16:16" x14ac:dyDescent="0.3">
      <c r="P1129" s="4">
        <v>9</v>
      </c>
    </row>
    <row r="1130" spans="16:16" x14ac:dyDescent="0.3">
      <c r="P1130" s="3">
        <v>9</v>
      </c>
    </row>
    <row r="1131" spans="16:16" x14ac:dyDescent="0.3">
      <c r="P1131" s="4">
        <v>9</v>
      </c>
    </row>
    <row r="1132" spans="16:16" x14ac:dyDescent="0.3">
      <c r="P1132" s="3">
        <v>9</v>
      </c>
    </row>
    <row r="1133" spans="16:16" x14ac:dyDescent="0.3">
      <c r="P1133" s="4">
        <v>9</v>
      </c>
    </row>
    <row r="1134" spans="16:16" x14ac:dyDescent="0.3">
      <c r="P1134" s="3">
        <v>9</v>
      </c>
    </row>
    <row r="1135" spans="16:16" x14ac:dyDescent="0.3">
      <c r="P1135" s="4">
        <v>9</v>
      </c>
    </row>
    <row r="1136" spans="16:16" x14ac:dyDescent="0.3">
      <c r="P1136" s="3">
        <v>9</v>
      </c>
    </row>
    <row r="1137" spans="16:16" x14ac:dyDescent="0.3">
      <c r="P1137" s="4">
        <v>9</v>
      </c>
    </row>
    <row r="1138" spans="16:16" x14ac:dyDescent="0.3">
      <c r="P1138" s="3">
        <v>9</v>
      </c>
    </row>
    <row r="1139" spans="16:16" x14ac:dyDescent="0.3">
      <c r="P1139" s="4">
        <v>10</v>
      </c>
    </row>
    <row r="1140" spans="16:16" x14ac:dyDescent="0.3">
      <c r="P1140" s="3">
        <v>10</v>
      </c>
    </row>
    <row r="1141" spans="16:16" x14ac:dyDescent="0.3">
      <c r="P1141" s="4">
        <v>10</v>
      </c>
    </row>
    <row r="1142" spans="16:16" x14ac:dyDescent="0.3">
      <c r="P1142" s="3">
        <v>10</v>
      </c>
    </row>
    <row r="1143" spans="16:16" x14ac:dyDescent="0.3">
      <c r="P1143" s="4">
        <v>10</v>
      </c>
    </row>
    <row r="1144" spans="16:16" x14ac:dyDescent="0.3">
      <c r="P1144" s="3">
        <v>10</v>
      </c>
    </row>
    <row r="1145" spans="16:16" x14ac:dyDescent="0.3">
      <c r="P1145" s="4">
        <v>10</v>
      </c>
    </row>
    <row r="1146" spans="16:16" x14ac:dyDescent="0.3">
      <c r="P1146" s="3">
        <v>10</v>
      </c>
    </row>
    <row r="1147" spans="16:16" x14ac:dyDescent="0.3">
      <c r="P1147" s="4">
        <v>10</v>
      </c>
    </row>
    <row r="1148" spans="16:16" x14ac:dyDescent="0.3">
      <c r="P1148" s="3">
        <v>10</v>
      </c>
    </row>
    <row r="1149" spans="16:16" x14ac:dyDescent="0.3">
      <c r="P1149" s="4">
        <v>10</v>
      </c>
    </row>
    <row r="1150" spans="16:16" x14ac:dyDescent="0.3">
      <c r="P1150" s="3">
        <v>10</v>
      </c>
    </row>
    <row r="1151" spans="16:16" x14ac:dyDescent="0.3">
      <c r="P1151" s="4">
        <v>10</v>
      </c>
    </row>
    <row r="1152" spans="16:16" x14ac:dyDescent="0.3">
      <c r="P1152" s="3">
        <v>10</v>
      </c>
    </row>
    <row r="1153" spans="16:16" x14ac:dyDescent="0.3">
      <c r="P1153" s="4">
        <v>10</v>
      </c>
    </row>
    <row r="1154" spans="16:16" x14ac:dyDescent="0.3">
      <c r="P1154" s="3">
        <v>10</v>
      </c>
    </row>
    <row r="1155" spans="16:16" x14ac:dyDescent="0.3">
      <c r="P1155" s="4">
        <v>10</v>
      </c>
    </row>
    <row r="1156" spans="16:16" x14ac:dyDescent="0.3">
      <c r="P1156" s="3">
        <v>10</v>
      </c>
    </row>
    <row r="1157" spans="16:16" x14ac:dyDescent="0.3">
      <c r="P1157" s="4">
        <v>10</v>
      </c>
    </row>
    <row r="1158" spans="16:16" x14ac:dyDescent="0.3">
      <c r="P1158" s="3">
        <v>10</v>
      </c>
    </row>
    <row r="1159" spans="16:16" x14ac:dyDescent="0.3">
      <c r="P1159" s="4">
        <v>10</v>
      </c>
    </row>
    <row r="1160" spans="16:16" x14ac:dyDescent="0.3">
      <c r="P1160" s="3">
        <v>10</v>
      </c>
    </row>
    <row r="1161" spans="16:16" x14ac:dyDescent="0.3">
      <c r="P1161" s="4">
        <v>10</v>
      </c>
    </row>
    <row r="1162" spans="16:16" x14ac:dyDescent="0.3">
      <c r="P1162" s="3">
        <v>10</v>
      </c>
    </row>
    <row r="1163" spans="16:16" x14ac:dyDescent="0.3">
      <c r="P1163" s="4">
        <v>10</v>
      </c>
    </row>
    <row r="1164" spans="16:16" x14ac:dyDescent="0.3">
      <c r="P1164" s="3">
        <v>10</v>
      </c>
    </row>
    <row r="1165" spans="16:16" x14ac:dyDescent="0.3">
      <c r="P1165" s="4">
        <v>10</v>
      </c>
    </row>
    <row r="1166" spans="16:16" x14ac:dyDescent="0.3">
      <c r="P1166" s="3">
        <v>10</v>
      </c>
    </row>
    <row r="1167" spans="16:16" x14ac:dyDescent="0.3">
      <c r="P1167" s="4">
        <v>10</v>
      </c>
    </row>
    <row r="1168" spans="16:16" x14ac:dyDescent="0.3">
      <c r="P1168" s="3">
        <v>11</v>
      </c>
    </row>
    <row r="1169" spans="16:16" x14ac:dyDescent="0.3">
      <c r="P1169" s="4">
        <v>11</v>
      </c>
    </row>
    <row r="1170" spans="16:16" x14ac:dyDescent="0.3">
      <c r="P1170" s="3">
        <v>11</v>
      </c>
    </row>
    <row r="1171" spans="16:16" x14ac:dyDescent="0.3">
      <c r="P1171" s="4">
        <v>11</v>
      </c>
    </row>
    <row r="1172" spans="16:16" x14ac:dyDescent="0.3">
      <c r="P1172" s="3">
        <v>11</v>
      </c>
    </row>
    <row r="1173" spans="16:16" x14ac:dyDescent="0.3">
      <c r="P1173" s="4">
        <v>11</v>
      </c>
    </row>
    <row r="1174" spans="16:16" x14ac:dyDescent="0.3">
      <c r="P1174" s="3">
        <v>11</v>
      </c>
    </row>
    <row r="1175" spans="16:16" x14ac:dyDescent="0.3">
      <c r="P1175" s="4">
        <v>12</v>
      </c>
    </row>
    <row r="1176" spans="16:16" x14ac:dyDescent="0.3">
      <c r="P1176" s="3">
        <v>12</v>
      </c>
    </row>
    <row r="1177" spans="16:16" x14ac:dyDescent="0.3">
      <c r="P1177" s="4">
        <v>12</v>
      </c>
    </row>
    <row r="1178" spans="16:16" x14ac:dyDescent="0.3">
      <c r="P1178" s="3">
        <v>12</v>
      </c>
    </row>
    <row r="1179" spans="16:16" x14ac:dyDescent="0.3">
      <c r="P1179" s="4">
        <v>12</v>
      </c>
    </row>
    <row r="1180" spans="16:16" x14ac:dyDescent="0.3">
      <c r="P1180" s="3">
        <v>12</v>
      </c>
    </row>
    <row r="1181" spans="16:16" x14ac:dyDescent="0.3">
      <c r="P1181" s="4">
        <v>12</v>
      </c>
    </row>
    <row r="1182" spans="16:16" x14ac:dyDescent="0.3">
      <c r="P1182" s="3">
        <v>12</v>
      </c>
    </row>
    <row r="1183" spans="16:16" x14ac:dyDescent="0.3">
      <c r="P1183" s="4">
        <v>12</v>
      </c>
    </row>
    <row r="1184" spans="16:16" x14ac:dyDescent="0.3">
      <c r="P1184" s="3">
        <v>12</v>
      </c>
    </row>
    <row r="1185" spans="16:16" x14ac:dyDescent="0.3">
      <c r="P1185" s="4">
        <v>12</v>
      </c>
    </row>
    <row r="1186" spans="16:16" x14ac:dyDescent="0.3">
      <c r="P1186" s="3">
        <v>12</v>
      </c>
    </row>
    <row r="1187" spans="16:16" x14ac:dyDescent="0.3">
      <c r="P1187" s="4">
        <v>13</v>
      </c>
    </row>
    <row r="1188" spans="16:16" x14ac:dyDescent="0.3">
      <c r="P1188" s="3">
        <v>13</v>
      </c>
    </row>
    <row r="1189" spans="16:16" x14ac:dyDescent="0.3">
      <c r="P1189" s="4">
        <v>13</v>
      </c>
    </row>
    <row r="1190" spans="16:16" x14ac:dyDescent="0.3">
      <c r="P1190" s="3">
        <v>13</v>
      </c>
    </row>
    <row r="1191" spans="16:16" x14ac:dyDescent="0.3">
      <c r="P1191" s="4">
        <v>14</v>
      </c>
    </row>
    <row r="1192" spans="16:16" x14ac:dyDescent="0.3">
      <c r="P1192" s="3">
        <v>14</v>
      </c>
    </row>
    <row r="1193" spans="16:16" x14ac:dyDescent="0.3">
      <c r="P1193" s="4">
        <v>14</v>
      </c>
    </row>
    <row r="1194" spans="16:16" x14ac:dyDescent="0.3">
      <c r="P1194" s="3">
        <v>14</v>
      </c>
    </row>
    <row r="1195" spans="16:16" x14ac:dyDescent="0.3">
      <c r="P1195" s="4">
        <v>14</v>
      </c>
    </row>
    <row r="1196" spans="16:16" x14ac:dyDescent="0.3">
      <c r="P1196" s="3">
        <v>15</v>
      </c>
    </row>
    <row r="1197" spans="16:16" x14ac:dyDescent="0.3">
      <c r="P1197" s="4">
        <v>15</v>
      </c>
    </row>
    <row r="1198" spans="16:16" x14ac:dyDescent="0.3">
      <c r="P1198" s="3">
        <v>15</v>
      </c>
    </row>
    <row r="1199" spans="16:16" x14ac:dyDescent="0.3">
      <c r="P1199" s="4">
        <v>15</v>
      </c>
    </row>
    <row r="1200" spans="16:16" x14ac:dyDescent="0.3">
      <c r="P1200" s="3">
        <v>15</v>
      </c>
    </row>
    <row r="1201" spans="16:16" x14ac:dyDescent="0.3">
      <c r="P1201" s="4">
        <v>15</v>
      </c>
    </row>
    <row r="1202" spans="16:16" x14ac:dyDescent="0.3">
      <c r="P1202" s="3">
        <v>15</v>
      </c>
    </row>
    <row r="1203" spans="16:16" x14ac:dyDescent="0.3">
      <c r="P1203" s="4">
        <v>15</v>
      </c>
    </row>
    <row r="1204" spans="16:16" x14ac:dyDescent="0.3">
      <c r="P1204" s="3">
        <v>16</v>
      </c>
    </row>
    <row r="1205" spans="16:16" x14ac:dyDescent="0.3">
      <c r="P1205" s="4">
        <v>17</v>
      </c>
    </row>
    <row r="1206" spans="16:16" x14ac:dyDescent="0.3">
      <c r="P1206" s="3">
        <v>18</v>
      </c>
    </row>
    <row r="1207" spans="16:16" x14ac:dyDescent="0.3">
      <c r="P1207" s="4">
        <v>18</v>
      </c>
    </row>
    <row r="1208" spans="16:16" x14ac:dyDescent="0.3">
      <c r="P1208" s="3">
        <v>19</v>
      </c>
    </row>
    <row r="1209" spans="16:16" x14ac:dyDescent="0.3">
      <c r="P1209" s="4">
        <v>19</v>
      </c>
    </row>
    <row r="1210" spans="16:16" x14ac:dyDescent="0.3">
      <c r="P1210" s="3">
        <v>20</v>
      </c>
    </row>
    <row r="1211" spans="16:16" x14ac:dyDescent="0.3">
      <c r="P1211" s="4">
        <v>20</v>
      </c>
    </row>
    <row r="1212" spans="16:16" x14ac:dyDescent="0.3">
      <c r="P1212" s="3">
        <v>20</v>
      </c>
    </row>
    <row r="1213" spans="16:16" x14ac:dyDescent="0.3">
      <c r="P1213" s="4">
        <v>20</v>
      </c>
    </row>
    <row r="1214" spans="16:16" x14ac:dyDescent="0.3">
      <c r="P1214" s="3">
        <v>20</v>
      </c>
    </row>
    <row r="1215" spans="16:16" x14ac:dyDescent="0.3">
      <c r="P1215" s="4">
        <v>20</v>
      </c>
    </row>
    <row r="1216" spans="16:16" x14ac:dyDescent="0.3">
      <c r="P1216" s="3">
        <v>20</v>
      </c>
    </row>
    <row r="1217" spans="16:16" x14ac:dyDescent="0.3">
      <c r="P1217" s="4">
        <v>25</v>
      </c>
    </row>
    <row r="1218" spans="16:16" x14ac:dyDescent="0.3">
      <c r="P1218" s="3">
        <v>26</v>
      </c>
    </row>
    <row r="1219" spans="16:16" x14ac:dyDescent="0.3">
      <c r="P1219" s="4">
        <v>30</v>
      </c>
    </row>
    <row r="1220" spans="16:16" x14ac:dyDescent="0.3">
      <c r="P1220" s="3">
        <v>30</v>
      </c>
    </row>
    <row r="1221" spans="16:16" x14ac:dyDescent="0.3">
      <c r="P1221" s="4">
        <v>30</v>
      </c>
    </row>
  </sheetData>
  <mergeCells count="2">
    <mergeCell ref="B4:E5"/>
    <mergeCell ref="M5:N7"/>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B5E7E-7BD1-44A0-8B75-215F77E9263F}">
  <dimension ref="C2:F16"/>
  <sheetViews>
    <sheetView showGridLines="0" workbookViewId="0">
      <selection activeCell="K22" sqref="K22"/>
    </sheetView>
  </sheetViews>
  <sheetFormatPr defaultRowHeight="14.4" x14ac:dyDescent="0.3"/>
  <cols>
    <col min="2" max="2" width="4.109375" customWidth="1"/>
    <col min="3" max="3" width="34.6640625" bestFit="1" customWidth="1"/>
    <col min="4" max="4" width="9.88671875" bestFit="1" customWidth="1"/>
    <col min="5" max="5" width="9.5546875" bestFit="1" customWidth="1"/>
    <col min="6" max="6" width="11.77734375" bestFit="1" customWidth="1"/>
  </cols>
  <sheetData>
    <row r="2" spans="3:6" x14ac:dyDescent="0.3">
      <c r="C2" s="144" t="s">
        <v>539</v>
      </c>
      <c r="D2" s="145"/>
      <c r="E2" s="145"/>
      <c r="F2" s="146"/>
    </row>
    <row r="3" spans="3:6" x14ac:dyDescent="0.3">
      <c r="C3" s="147"/>
      <c r="D3" s="137"/>
      <c r="E3" s="137"/>
      <c r="F3" s="148"/>
    </row>
    <row r="4" spans="3:6" x14ac:dyDescent="0.3">
      <c r="C4" s="61" t="s">
        <v>494</v>
      </c>
      <c r="D4" s="62" t="s">
        <v>427</v>
      </c>
      <c r="E4" s="63" t="s">
        <v>428</v>
      </c>
      <c r="F4" s="64" t="s">
        <v>429</v>
      </c>
    </row>
    <row r="5" spans="3:6" x14ac:dyDescent="0.3">
      <c r="C5" s="55" t="s">
        <v>16</v>
      </c>
      <c r="D5" s="49">
        <f>COUNTIF(Tabela1[Seniority level],C5)</f>
        <v>565</v>
      </c>
      <c r="E5" s="50">
        <f>D5/$D$11</f>
        <v>0.45527800161160353</v>
      </c>
      <c r="F5" s="51">
        <f>E5*100</f>
        <v>45.52780016116035</v>
      </c>
    </row>
    <row r="6" spans="3:6" x14ac:dyDescent="0.3">
      <c r="C6" s="55" t="s">
        <v>28</v>
      </c>
      <c r="D6" s="49">
        <f>COUNTIF(Tabela1[Seniority level],C6)</f>
        <v>366</v>
      </c>
      <c r="E6" s="50">
        <f t="shared" ref="E6:E11" si="0">D6/$D$11</f>
        <v>0.29492344883158744</v>
      </c>
      <c r="F6" s="51">
        <f t="shared" ref="F6:F11" si="1">E6*100</f>
        <v>29.492344883158744</v>
      </c>
    </row>
    <row r="7" spans="3:6" x14ac:dyDescent="0.3">
      <c r="C7" s="55" t="s">
        <v>26</v>
      </c>
      <c r="D7" s="49">
        <f>COUNTIF(Tabela1[Seniority level],C7)</f>
        <v>79</v>
      </c>
      <c r="E7" s="50">
        <f t="shared" si="0"/>
        <v>6.3658340048348111E-2</v>
      </c>
      <c r="F7" s="51">
        <f t="shared" si="1"/>
        <v>6.3658340048348112</v>
      </c>
    </row>
    <row r="8" spans="3:6" x14ac:dyDescent="0.3">
      <c r="C8" s="55" t="s">
        <v>24</v>
      </c>
      <c r="D8" s="49">
        <f>COUNTIF(Tabela1[Seniority level],C8)</f>
        <v>166</v>
      </c>
      <c r="E8" s="50">
        <f t="shared" si="0"/>
        <v>0.13376309427880742</v>
      </c>
      <c r="F8" s="51">
        <f t="shared" si="1"/>
        <v>13.376309427880742</v>
      </c>
    </row>
    <row r="9" spans="3:6" x14ac:dyDescent="0.3">
      <c r="C9" s="55" t="s">
        <v>62</v>
      </c>
      <c r="D9" s="49">
        <f>COUNTIF(Tabela1[Seniority level],C9)</f>
        <v>44</v>
      </c>
      <c r="E9" s="50">
        <f t="shared" si="0"/>
        <v>3.5455278001611606E-2</v>
      </c>
      <c r="F9" s="51">
        <f t="shared" si="1"/>
        <v>3.5455278001611608</v>
      </c>
    </row>
    <row r="10" spans="3:6" x14ac:dyDescent="0.3">
      <c r="C10" s="55" t="s">
        <v>447</v>
      </c>
      <c r="D10" s="49">
        <f>D11-SUM(D5:D9)</f>
        <v>21</v>
      </c>
      <c r="E10" s="50">
        <f t="shared" si="0"/>
        <v>1.6921837228041903E-2</v>
      </c>
      <c r="F10" s="51">
        <f t="shared" si="1"/>
        <v>1.6921837228041903</v>
      </c>
    </row>
    <row r="11" spans="3:6" x14ac:dyDescent="0.3">
      <c r="C11" s="56" t="s">
        <v>425</v>
      </c>
      <c r="D11" s="53">
        <v>1241</v>
      </c>
      <c r="E11" s="59">
        <f t="shared" si="0"/>
        <v>1</v>
      </c>
      <c r="F11" s="60">
        <f t="shared" si="1"/>
        <v>100</v>
      </c>
    </row>
    <row r="13" spans="3:6" x14ac:dyDescent="0.3">
      <c r="C13" s="138" t="s">
        <v>540</v>
      </c>
      <c r="D13" s="139"/>
    </row>
    <row r="14" spans="3:6" x14ac:dyDescent="0.3">
      <c r="C14" s="140"/>
      <c r="D14" s="141"/>
    </row>
    <row r="15" spans="3:6" x14ac:dyDescent="0.3">
      <c r="C15" s="142"/>
      <c r="D15" s="143"/>
    </row>
    <row r="16" spans="3:6" x14ac:dyDescent="0.3">
      <c r="C16" s="77" t="s">
        <v>487</v>
      </c>
      <c r="D16" s="78" t="s">
        <v>16</v>
      </c>
    </row>
  </sheetData>
  <mergeCells count="2">
    <mergeCell ref="C2:F3"/>
    <mergeCell ref="C13:D15"/>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20</vt:i4>
      </vt:variant>
      <vt:variant>
        <vt:lpstr>Intervalos Nomeados</vt:lpstr>
      </vt:variant>
      <vt:variant>
        <vt:i4>1</vt:i4>
      </vt:variant>
    </vt:vector>
  </HeadingPairs>
  <TitlesOfParts>
    <vt:vector size="21" baseType="lpstr">
      <vt:lpstr>Tabela</vt:lpstr>
      <vt:lpstr>Variáveis</vt:lpstr>
      <vt:lpstr>Variável Age</vt:lpstr>
      <vt:lpstr>Variável Gender</vt:lpstr>
      <vt:lpstr>Variável City</vt:lpstr>
      <vt:lpstr>Variável Position</vt:lpstr>
      <vt:lpstr>Variável Total years of experie</vt:lpstr>
      <vt:lpstr>Variável experience in Germany</vt:lpstr>
      <vt:lpstr>Variável Seniority level</vt:lpstr>
      <vt:lpstr>Variável Your main technology</vt:lpstr>
      <vt:lpstr>Variável Yearly brutto salary </vt:lpstr>
      <vt:lpstr>Variável Yearly bonus</vt:lpstr>
      <vt:lpstr>Variável Number of vacation day</vt:lpstr>
      <vt:lpstr>Variável Main language at work</vt:lpstr>
      <vt:lpstr>Variável Company size</vt:lpstr>
      <vt:lpstr>Age x Yearly bruto salary</vt:lpstr>
      <vt:lpstr>Gender x Yearly bruto salary</vt:lpstr>
      <vt:lpstr>Position x Yearly bruto salary</vt:lpstr>
      <vt:lpstr>Total years of experience x sal</vt:lpstr>
      <vt:lpstr>Seniority level x salary</vt:lpstr>
      <vt:lpstr>tabela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 Medeiros</dc:creator>
  <cp:lastModifiedBy>fabricio dalvi</cp:lastModifiedBy>
  <dcterms:created xsi:type="dcterms:W3CDTF">2022-04-01T21:53:53Z</dcterms:created>
  <dcterms:modified xsi:type="dcterms:W3CDTF">2022-04-06T21:50:12Z</dcterms:modified>
</cp:coreProperties>
</file>