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oga\OneDrive\Escritorio\Repos\inv-op-back\"/>
    </mc:Choice>
  </mc:AlternateContent>
  <xr:revisionPtr revIDLastSave="0" documentId="13_ncr:1_{410BF830-2FC4-4D52-B8A4-5CF8CBA43ABA}" xr6:coauthVersionLast="47" xr6:coauthVersionMax="47" xr10:uidLastSave="{00000000-0000-0000-0000-000000000000}"/>
  <bookViews>
    <workbookView xWindow="-98" yWindow="-98" windowWidth="21795" windowHeight="12975" xr2:uid="{CB2E5428-67D7-4B58-81F0-35F0062CA8F4}"/>
  </bookViews>
  <sheets>
    <sheet name="Artículo 2" sheetId="1" r:id="rId1"/>
    <sheet name="Artículo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I2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I23" i="2"/>
  <c r="I22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5" i="2"/>
  <c r="J4" i="2"/>
  <c r="H25" i="2"/>
  <c r="G25" i="2"/>
  <c r="H9" i="2"/>
  <c r="H10" i="2"/>
  <c r="H11" i="2"/>
  <c r="H12" i="2"/>
  <c r="H13" i="2"/>
  <c r="H14" i="2"/>
  <c r="H15" i="2"/>
  <c r="H16" i="2"/>
  <c r="H17" i="2"/>
  <c r="H18" i="2"/>
  <c r="H19" i="2"/>
  <c r="H20" i="2"/>
  <c r="H8" i="2"/>
  <c r="G23" i="2"/>
  <c r="G2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F2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35" i="2"/>
  <c r="D34" i="2"/>
  <c r="D33" i="2"/>
  <c r="D30" i="2"/>
  <c r="D29" i="2"/>
  <c r="C25" i="2"/>
  <c r="C22" i="2"/>
  <c r="C23" i="2"/>
  <c r="C24" i="2"/>
  <c r="C21" i="2"/>
  <c r="B30" i="2"/>
  <c r="D36" i="2" l="1"/>
  <c r="E4" i="2" l="1"/>
  <c r="E5" i="2"/>
  <c r="B32" i="2"/>
  <c r="B33" i="2"/>
  <c r="B34" i="2"/>
  <c r="B31" i="2"/>
  <c r="B25" i="2"/>
  <c r="D19" i="1"/>
  <c r="D21" i="1"/>
  <c r="D22" i="1"/>
  <c r="D23" i="1"/>
  <c r="D20" i="1"/>
  <c r="D24" i="1" s="1"/>
  <c r="B22" i="1"/>
  <c r="D25" i="1" l="1"/>
  <c r="D26" i="1"/>
  <c r="B21" i="1"/>
  <c r="B20" i="1"/>
  <c r="B24" i="1" s="1"/>
  <c r="B19" i="1"/>
  <c r="B23" i="1" s="1"/>
  <c r="B25" i="1" s="1"/>
  <c r="B26" i="1" s="1"/>
  <c r="I5" i="1"/>
  <c r="J5" i="1" s="1"/>
  <c r="J4" i="1"/>
  <c r="H4" i="1"/>
  <c r="G5" i="1"/>
  <c r="H5" i="1" s="1"/>
  <c r="B12" i="1"/>
  <c r="D8" i="1"/>
  <c r="D7" i="1"/>
  <c r="E9" i="1"/>
  <c r="E10" i="1" s="1"/>
  <c r="E8" i="1"/>
  <c r="F8" i="1" s="1"/>
  <c r="E7" i="1"/>
  <c r="F7" i="1" s="1"/>
  <c r="C8" i="1"/>
  <c r="C9" i="1"/>
  <c r="C10" i="1" s="1"/>
  <c r="C7" i="1"/>
  <c r="F12" i="1" l="1"/>
  <c r="E11" i="1"/>
  <c r="E12" i="1"/>
  <c r="C11" i="1"/>
  <c r="C12" i="1" s="1"/>
  <c r="G6" i="1"/>
  <c r="D12" i="1"/>
  <c r="I6" i="1"/>
  <c r="M6" i="1"/>
  <c r="N6" i="1" s="1"/>
  <c r="M11" i="1"/>
  <c r="M10" i="1"/>
  <c r="M9" i="1"/>
  <c r="M8" i="1"/>
  <c r="N8" i="1" s="1"/>
  <c r="M7" i="1"/>
  <c r="N7" i="1" s="1"/>
  <c r="K4" i="1"/>
  <c r="L4" i="1" s="1"/>
  <c r="K7" i="1"/>
  <c r="L7" i="1" s="1"/>
  <c r="K6" i="1"/>
  <c r="L6" i="1" s="1"/>
  <c r="K5" i="1"/>
  <c r="L5" i="1" s="1"/>
  <c r="K11" i="1"/>
  <c r="K10" i="1"/>
  <c r="K8" i="1"/>
  <c r="L8" i="1" s="1"/>
  <c r="K9" i="1"/>
  <c r="K12" i="1" s="1"/>
  <c r="L12" i="1" l="1"/>
  <c r="M12" i="1"/>
  <c r="N12" i="1"/>
  <c r="G7" i="1"/>
  <c r="H6" i="1"/>
  <c r="I7" i="1"/>
  <c r="J6" i="1"/>
  <c r="I8" i="1" l="1"/>
  <c r="J7" i="1"/>
  <c r="G8" i="1"/>
  <c r="H7" i="1"/>
  <c r="G9" i="1" l="1"/>
  <c r="H8" i="1"/>
  <c r="H12" i="1" s="1"/>
  <c r="I9" i="1"/>
  <c r="I10" i="1" s="1"/>
  <c r="I11" i="1" s="1"/>
  <c r="J8" i="1"/>
  <c r="J12" i="1" s="1"/>
  <c r="I12" i="1"/>
  <c r="G10" i="1" l="1"/>
  <c r="G11" i="1" s="1"/>
  <c r="G12" i="1" l="1"/>
</calcChain>
</file>

<file path=xl/sharedStrings.xml><?xml version="1.0" encoding="utf-8"?>
<sst xmlns="http://schemas.openxmlformats.org/spreadsheetml/2006/main" count="104" uniqueCount="51">
  <si>
    <t>Demostración Módulo de Demanda - Artículo 2</t>
  </si>
  <si>
    <t>Periodo</t>
  </si>
  <si>
    <t>Demanda Real</t>
  </si>
  <si>
    <t>PMP 1</t>
  </si>
  <si>
    <t>PMP 2</t>
  </si>
  <si>
    <t>PMSE 1</t>
  </si>
  <si>
    <t>PMSE 2</t>
  </si>
  <si>
    <t>RL 1</t>
  </si>
  <si>
    <t>RL 2</t>
  </si>
  <si>
    <t>Ix 1</t>
  </si>
  <si>
    <t>Predicción</t>
  </si>
  <si>
    <t>Error</t>
  </si>
  <si>
    <t>1/2024</t>
  </si>
  <si>
    <t>2/2024</t>
  </si>
  <si>
    <t>3/2024</t>
  </si>
  <si>
    <t>4/2024</t>
  </si>
  <si>
    <t>5/2024</t>
  </si>
  <si>
    <t>6/2024</t>
  </si>
  <si>
    <t>7/2024</t>
  </si>
  <si>
    <t>8/2024</t>
  </si>
  <si>
    <t>-</t>
  </si>
  <si>
    <t>Total</t>
  </si>
  <si>
    <t>Cálculos Auxiliares</t>
  </si>
  <si>
    <t>SUMA X</t>
  </si>
  <si>
    <t>SUMA Y</t>
  </si>
  <si>
    <t>SUMA X2</t>
  </si>
  <si>
    <t>SUMA XY</t>
  </si>
  <si>
    <t>PROMEDIO X</t>
  </si>
  <si>
    <t>PROMEDIO Y</t>
  </si>
  <si>
    <t>b</t>
  </si>
  <si>
    <t>a</t>
  </si>
  <si>
    <t>Demostración Módulo de Demanda - Artículo 3</t>
  </si>
  <si>
    <t>1/2023</t>
  </si>
  <si>
    <t>2/2023</t>
  </si>
  <si>
    <t>3/2023</t>
  </si>
  <si>
    <t>4/2023</t>
  </si>
  <si>
    <t>5/2023</t>
  </si>
  <si>
    <t>6/2023</t>
  </si>
  <si>
    <t>7/2023</t>
  </si>
  <si>
    <t>8/2023</t>
  </si>
  <si>
    <t>9/2023</t>
  </si>
  <si>
    <t>10/2023</t>
  </si>
  <si>
    <t>11/2023</t>
  </si>
  <si>
    <t>12/2023</t>
  </si>
  <si>
    <t>9/2024</t>
  </si>
  <si>
    <t>DE</t>
  </si>
  <si>
    <t>I1</t>
  </si>
  <si>
    <t>I2</t>
  </si>
  <si>
    <t>I3</t>
  </si>
  <si>
    <t>I4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</si>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</sst>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8" fontId="3" fillId="2" borderId="0" xfId="0" applyNumberFormat="1" applyFont="1" applyFill="1"/>
    <xf numFmtId="49" fontId="0" fillId="0" borderId="1" xfId="0" applyNumberFormat="1" applyBorder="1" applyAlignment="1">
      <alignment horizontal="right"/>
    </xf>
    <xf numFmtId="168" fontId="0" fillId="0" borderId="1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8" fontId="0" fillId="0" borderId="5" xfId="0" applyNumberFormat="1" applyBorder="1"/>
    <xf numFmtId="168" fontId="0" fillId="0" borderId="7" xfId="0" applyNumberFormat="1" applyBorder="1"/>
    <xf numFmtId="0" fontId="3" fillId="2" borderId="0" xfId="0" applyFont="1" applyFill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'Artículo 2'!$B$2:$B$3</c:f>
              <c:strCache>
                <c:ptCount val="2"/>
                <c:pt idx="0">
                  <c:v>Demanda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'Artículo 2'!$A$4:$A$11</c:f>
              <c:strCache>
                <c:ptCount val="8"/>
                <c:pt idx="0">
                  <c:v>1/2024</c:v>
                </c:pt>
                <c:pt idx="1">
                  <c:v>2/2024</c:v>
                </c:pt>
                <c:pt idx="2">
                  <c:v>3/2024</c:v>
                </c:pt>
                <c:pt idx="3">
                  <c:v>4/2024</c:v>
                </c:pt>
                <c:pt idx="4">
                  <c:v>5/2024</c:v>
                </c:pt>
                <c:pt idx="5">
                  <c:v>6/2024</c:v>
                </c:pt>
                <c:pt idx="6">
                  <c:v>7/2024</c:v>
                </c:pt>
                <c:pt idx="7">
                  <c:v>8/2024</c:v>
                </c:pt>
              </c:strCache>
            </c:strRef>
          </c:cat>
          <c:val>
            <c:numRef>
              <c:f>'Artículo 2'!$B$4:$B$8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28</c:v>
                </c:pt>
                <c:pt idx="3">
                  <c:v>18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A-4EB3-8D5B-C888201F1147}"/>
            </c:ext>
          </c:extLst>
        </c:ser>
        <c:ser>
          <c:idx val="1"/>
          <c:order val="1"/>
          <c:tx>
            <c:strRef>
              <c:f>'Artículo 2'!$C$2:$D$2</c:f>
              <c:strCache>
                <c:ptCount val="1"/>
                <c:pt idx="0">
                  <c:v>PMP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'Artículo 2'!$C$4:$C$11</c:f>
              <c:numCache>
                <c:formatCode>General</c:formatCode>
                <c:ptCount val="8"/>
                <c:pt idx="3" formatCode="0.000">
                  <c:v>28.333333333333332</c:v>
                </c:pt>
                <c:pt idx="4" formatCode="0.000">
                  <c:v>23.333333333333332</c:v>
                </c:pt>
                <c:pt idx="5" formatCode="0.000">
                  <c:v>18.666666666666668</c:v>
                </c:pt>
                <c:pt idx="6" formatCode="0.000">
                  <c:v>17.333333333333332</c:v>
                </c:pt>
                <c:pt idx="7" formatCode="0.000">
                  <c:v>17.166666666666668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A-4EB3-8D5B-C888201F1147}"/>
            </c:ext>
          </c:extLst>
        </c:ser>
        <c:ser>
          <c:idx val="2"/>
          <c:order val="2"/>
          <c:tx>
            <c:strRef>
              <c:f>'Artículo 2'!$E$2:$F$2</c:f>
              <c:strCache>
                <c:ptCount val="1"/>
                <c:pt idx="0">
                  <c:v>PMP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'Artículo 2'!$E$4:$E$11</c:f>
              <c:numCache>
                <c:formatCode>General</c:formatCode>
                <c:ptCount val="8"/>
                <c:pt idx="3" formatCode="0.000">
                  <c:v>28</c:v>
                </c:pt>
                <c:pt idx="4" formatCode="0.000">
                  <c:v>25.333333333333332</c:v>
                </c:pt>
                <c:pt idx="5" formatCode="0.000">
                  <c:v>20.666666666666668</c:v>
                </c:pt>
                <c:pt idx="6" formatCode="0.000">
                  <c:v>18</c:v>
                </c:pt>
                <c:pt idx="7" formatCode="0.0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A-4EB3-8D5B-C888201F1147}"/>
            </c:ext>
          </c:extLst>
        </c:ser>
        <c:ser>
          <c:idx val="3"/>
          <c:order val="3"/>
          <c:tx>
            <c:strRef>
              <c:f>'Artículo 2'!$G$2:$H$2</c:f>
              <c:strCache>
                <c:ptCount val="1"/>
                <c:pt idx="0">
                  <c:v>PMSE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'Artículo 2'!$G$4:$G$11</c:f>
              <c:numCache>
                <c:formatCode>0.000</c:formatCode>
                <c:ptCount val="8"/>
                <c:pt idx="0" formatCode="General">
                  <c:v>9</c:v>
                </c:pt>
                <c:pt idx="1">
                  <c:v>24.3</c:v>
                </c:pt>
                <c:pt idx="2">
                  <c:v>29.43</c:v>
                </c:pt>
                <c:pt idx="3">
                  <c:v>28.143000000000001</c:v>
                </c:pt>
                <c:pt idx="4">
                  <c:v>19.014299999999999</c:v>
                </c:pt>
                <c:pt idx="5">
                  <c:v>16.30143</c:v>
                </c:pt>
                <c:pt idx="6">
                  <c:v>16.030142999999999</c:v>
                </c:pt>
                <c:pt idx="7">
                  <c:v>16.0030143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A-4EB3-8D5B-C888201F1147}"/>
            </c:ext>
          </c:extLst>
        </c:ser>
        <c:ser>
          <c:idx val="4"/>
          <c:order val="4"/>
          <c:tx>
            <c:strRef>
              <c:f>'Artículo 2'!$I$2:$J$2</c:f>
              <c:strCache>
                <c:ptCount val="1"/>
                <c:pt idx="0">
                  <c:v>PMSE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'Artículo 2'!$I$4:$I$11</c:f>
              <c:numCache>
                <c:formatCode>0.000</c:formatCode>
                <c:ptCount val="8"/>
                <c:pt idx="0" formatCode="General">
                  <c:v>11</c:v>
                </c:pt>
                <c:pt idx="1">
                  <c:v>12.5</c:v>
                </c:pt>
                <c:pt idx="2">
                  <c:v>14.25</c:v>
                </c:pt>
                <c:pt idx="3">
                  <c:v>15.625</c:v>
                </c:pt>
                <c:pt idx="4">
                  <c:v>15.862500000000001</c:v>
                </c:pt>
                <c:pt idx="5">
                  <c:v>15.876250000000001</c:v>
                </c:pt>
                <c:pt idx="6">
                  <c:v>15.788625</c:v>
                </c:pt>
                <c:pt idx="7">
                  <c:v>15.7097625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A-4EB3-8D5B-C888201F1147}"/>
            </c:ext>
          </c:extLst>
        </c:ser>
        <c:ser>
          <c:idx val="5"/>
          <c:order val="5"/>
          <c:tx>
            <c:strRef>
              <c:f>'Artículo 2'!$K$2:$L$2</c:f>
              <c:strCache>
                <c:ptCount val="1"/>
                <c:pt idx="0">
                  <c:v>RL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'Artículo 2'!$K$4:$K$11</c:f>
              <c:numCache>
                <c:formatCode>0.000</c:formatCode>
                <c:ptCount val="8"/>
                <c:pt idx="0">
                  <c:v>30.000000000000004</c:v>
                </c:pt>
                <c:pt idx="1">
                  <c:v>26.800000000000004</c:v>
                </c:pt>
                <c:pt idx="2">
                  <c:v>23.6</c:v>
                </c:pt>
                <c:pt idx="3">
                  <c:v>20.400000000000002</c:v>
                </c:pt>
                <c:pt idx="4">
                  <c:v>17.200000000000003</c:v>
                </c:pt>
                <c:pt idx="5">
                  <c:v>14</c:v>
                </c:pt>
                <c:pt idx="6">
                  <c:v>10.8</c:v>
                </c:pt>
                <c:pt idx="7">
                  <c:v>7.6000000000000014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A-4EB3-8D5B-C888201F1147}"/>
            </c:ext>
          </c:extLst>
        </c:ser>
        <c:ser>
          <c:idx val="6"/>
          <c:order val="6"/>
          <c:tx>
            <c:strRef>
              <c:f>'Artículo 2'!$M$2:$N$2</c:f>
              <c:strCache>
                <c:ptCount val="1"/>
                <c:pt idx="0">
                  <c:v>RL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'Artículo 2'!$M$4:$M$11</c:f>
              <c:numCache>
                <c:formatCode>0,000</c:formatCode>
                <c:ptCount val="8"/>
                <c:pt idx="2">
                  <c:v>26.666666666666671</c:v>
                </c:pt>
                <c:pt idx="3">
                  <c:v>20.666666666666671</c:v>
                </c:pt>
                <c:pt idx="4">
                  <c:v>14.666666666666671</c:v>
                </c:pt>
                <c:pt idx="5">
                  <c:v>8.6666666666666714</c:v>
                </c:pt>
                <c:pt idx="6">
                  <c:v>2.6666666666666714</c:v>
                </c:pt>
                <c:pt idx="7">
                  <c:v>-3.3333333333333286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A-4EB3-8D5B-C888201F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445760"/>
        <c:axId val="1167442880"/>
      </c:lineChart>
      <c:catAx>
        <c:axId val="11674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7442880"/>
        <c:crosses val="autoZero"/>
        <c:auto val="1"/>
        <c:lblAlgn val="ctr"/>
        <c:lblOffset val="100"/>
        <c:noMultiLvlLbl val="0"/>
      </c:catAx>
      <c:valAx>
        <c:axId val="11674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74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'Artículo 3'!$B$2:$B$3</c:f>
              <c:strCache>
                <c:ptCount val="2"/>
                <c:pt idx="0">
                  <c:v>Demanda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'Artículo 3'!$A$4:$A$24</c:f>
              <c:strCache>
                <c:ptCount val="21"/>
                <c:pt idx="0">
                  <c:v>1/2023</c:v>
                </c:pt>
                <c:pt idx="1">
                  <c:v>2/2023</c:v>
                </c:pt>
                <c:pt idx="2">
                  <c:v>3/2023</c:v>
                </c:pt>
                <c:pt idx="3">
                  <c:v>4/2023</c:v>
                </c:pt>
                <c:pt idx="4">
                  <c:v>5/2023</c:v>
                </c:pt>
                <c:pt idx="5">
                  <c:v>6/2023</c:v>
                </c:pt>
                <c:pt idx="6">
                  <c:v>7/2023</c:v>
                </c:pt>
                <c:pt idx="7">
                  <c:v>8/2023</c:v>
                </c:pt>
                <c:pt idx="8">
                  <c:v>9/2023</c:v>
                </c:pt>
                <c:pt idx="9">
                  <c:v>10/2023</c:v>
                </c:pt>
                <c:pt idx="10">
                  <c:v>11/2023</c:v>
                </c:pt>
                <c:pt idx="11">
                  <c:v>12/2023</c:v>
                </c:pt>
                <c:pt idx="12">
                  <c:v>1/2024</c:v>
                </c:pt>
                <c:pt idx="13">
                  <c:v>2/2024</c:v>
                </c:pt>
                <c:pt idx="14">
                  <c:v>3/2024</c:v>
                </c:pt>
                <c:pt idx="15">
                  <c:v>4/2024</c:v>
                </c:pt>
                <c:pt idx="16">
                  <c:v>5/2024</c:v>
                </c:pt>
                <c:pt idx="17">
                  <c:v>6/2024</c:v>
                </c:pt>
                <c:pt idx="18">
                  <c:v>7/2024</c:v>
                </c:pt>
                <c:pt idx="19">
                  <c:v>8/2024</c:v>
                </c:pt>
                <c:pt idx="20">
                  <c:v>9/2024</c:v>
                </c:pt>
              </c:strCache>
            </c:strRef>
          </c:cat>
          <c:val>
            <c:numRef>
              <c:f>'Artículo 3'!$B$4:$B$20</c:f>
              <c:numCache>
                <c:formatCode>General</c:formatCode>
                <c:ptCount val="17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0C7-B87D-38DEF4ECB7C3}"/>
            </c:ext>
          </c:extLst>
        </c:ser>
        <c:ser>
          <c:idx val="1"/>
          <c:order val="1"/>
          <c:tx>
            <c:strRef>
              <c:f>'Artículo 3'!$C$2:$D$2</c:f>
              <c:strCache>
                <c:ptCount val="1"/>
                <c:pt idx="0">
                  <c:v>Ix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'Artículo 3'!$C$4:$C$24</c:f>
              <c:numCache>
                <c:formatCode>General</c:formatCode>
                <c:ptCount val="21"/>
                <c:pt idx="16" formatCode="0.000">
                  <c:v>9</c:v>
                </c:pt>
                <c:pt idx="17" formatCode="0.000">
                  <c:v>7.3728813559322042</c:v>
                </c:pt>
                <c:pt idx="18" formatCode="0.000">
                  <c:v>5.8474576271186445</c:v>
                </c:pt>
                <c:pt idx="19" formatCode="0.000">
                  <c:v>7.6271186440677958</c:v>
                </c:pt>
                <c:pt idx="20" formatCode="0.000">
                  <c:v>9.1525423728813564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9-40C7-B87D-38DEF4ECB7C3}"/>
            </c:ext>
          </c:extLst>
        </c:ser>
        <c:ser>
          <c:idx val="2"/>
          <c:order val="2"/>
          <c:tx>
            <c:strRef>
              <c:f>'Artículo 3'!$E$2:$F$2</c:f>
              <c:strCache>
                <c:ptCount val="1"/>
                <c:pt idx="0">
                  <c:v>RL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'Artículo 3'!$E$4:$E$24</c:f>
              <c:numCache>
                <c:formatCode>0.000</c:formatCode>
                <c:ptCount val="21"/>
                <c:pt idx="0">
                  <c:v>7.0000000000000009</c:v>
                </c:pt>
                <c:pt idx="1">
                  <c:v>7.0514705882352944</c:v>
                </c:pt>
                <c:pt idx="2">
                  <c:v>7.1029411764705888</c:v>
                </c:pt>
                <c:pt idx="3">
                  <c:v>7.1544117647058831</c:v>
                </c:pt>
                <c:pt idx="4">
                  <c:v>7.2058823529411775</c:v>
                </c:pt>
                <c:pt idx="5">
                  <c:v>7.257352941176471</c:v>
                </c:pt>
                <c:pt idx="6">
                  <c:v>7.3088235294117654</c:v>
                </c:pt>
                <c:pt idx="7">
                  <c:v>7.3602941176470598</c:v>
                </c:pt>
                <c:pt idx="8">
                  <c:v>7.4117647058823533</c:v>
                </c:pt>
                <c:pt idx="9">
                  <c:v>7.4632352941176476</c:v>
                </c:pt>
                <c:pt idx="10">
                  <c:v>7.514705882352942</c:v>
                </c:pt>
                <c:pt idx="11">
                  <c:v>7.5661764705882355</c:v>
                </c:pt>
                <c:pt idx="12">
                  <c:v>7.6176470588235299</c:v>
                </c:pt>
                <c:pt idx="13">
                  <c:v>7.6691176470588243</c:v>
                </c:pt>
                <c:pt idx="14">
                  <c:v>7.7205882352941178</c:v>
                </c:pt>
                <c:pt idx="15">
                  <c:v>7.7720588235294121</c:v>
                </c:pt>
                <c:pt idx="16">
                  <c:v>7.8235294117647065</c:v>
                </c:pt>
                <c:pt idx="17">
                  <c:v>7.8750000000000009</c:v>
                </c:pt>
                <c:pt idx="18">
                  <c:v>7.9264705882352944</c:v>
                </c:pt>
                <c:pt idx="19">
                  <c:v>7.9779411764705888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9-40C7-B87D-38DEF4ECB7C3}"/>
            </c:ext>
          </c:extLst>
        </c:ser>
        <c:ser>
          <c:idx val="3"/>
          <c:order val="3"/>
          <c:tx>
            <c:strRef>
              <c:f>'Artículo 3'!$G$2:$H$2</c:f>
              <c:strCache>
                <c:ptCount val="1"/>
                <c:pt idx="0">
                  <c:v>PMP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'Artículo 3'!$G$4:$G$24</c:f>
              <c:numCache>
                <c:formatCode>General</c:formatCode>
                <c:ptCount val="21"/>
                <c:pt idx="4" formatCode="0.000">
                  <c:v>6.75</c:v>
                </c:pt>
                <c:pt idx="5" formatCode="0.000">
                  <c:v>7</c:v>
                </c:pt>
                <c:pt idx="6" formatCode="0.000">
                  <c:v>7</c:v>
                </c:pt>
                <c:pt idx="7" formatCode="0.000">
                  <c:v>7.25</c:v>
                </c:pt>
                <c:pt idx="8" formatCode="0.000">
                  <c:v>7.5</c:v>
                </c:pt>
                <c:pt idx="9" formatCode="0.000">
                  <c:v>7.5</c:v>
                </c:pt>
                <c:pt idx="10" formatCode="0.000">
                  <c:v>7.75</c:v>
                </c:pt>
                <c:pt idx="11" formatCode="0.000">
                  <c:v>7.75</c:v>
                </c:pt>
                <c:pt idx="12" formatCode="0.000">
                  <c:v>7.5</c:v>
                </c:pt>
                <c:pt idx="13" formatCode="0.000">
                  <c:v>7.5</c:v>
                </c:pt>
                <c:pt idx="14" formatCode="0.000">
                  <c:v>7.25</c:v>
                </c:pt>
                <c:pt idx="15" formatCode="0.000">
                  <c:v>7.25</c:v>
                </c:pt>
                <c:pt idx="16" formatCode="0.000">
                  <c:v>7.5</c:v>
                </c:pt>
                <c:pt idx="17" formatCode="0.000">
                  <c:v>7.5</c:v>
                </c:pt>
                <c:pt idx="18" formatCode="0.000">
                  <c:v>7.5</c:v>
                </c:pt>
                <c:pt idx="19" formatCode="0.000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9-40C7-B87D-38DEF4ECB7C3}"/>
            </c:ext>
          </c:extLst>
        </c:ser>
        <c:ser>
          <c:idx val="4"/>
          <c:order val="4"/>
          <c:tx>
            <c:strRef>
              <c:f>'Artículo 3'!$I$2:$J$2</c:f>
              <c:strCache>
                <c:ptCount val="1"/>
                <c:pt idx="0">
                  <c:v>PMSE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'Artículo 3'!$I$4:$I$24</c:f>
              <c:numCache>
                <c:formatCode>0.000</c:formatCode>
                <c:ptCount val="21"/>
                <c:pt idx="0">
                  <c:v>7.5</c:v>
                </c:pt>
                <c:pt idx="1">
                  <c:v>7.95</c:v>
                </c:pt>
                <c:pt idx="2">
                  <c:v>7.0949999999999998</c:v>
                </c:pt>
                <c:pt idx="3">
                  <c:v>5.2095000000000002</c:v>
                </c:pt>
                <c:pt idx="4">
                  <c:v>6.8209499999999998</c:v>
                </c:pt>
                <c:pt idx="5">
                  <c:v>8.782095</c:v>
                </c:pt>
                <c:pt idx="6">
                  <c:v>7.1782094999999995</c:v>
                </c:pt>
                <c:pt idx="7">
                  <c:v>6.1178209499999996</c:v>
                </c:pt>
                <c:pt idx="8">
                  <c:v>7.8117820949999999</c:v>
                </c:pt>
                <c:pt idx="9">
                  <c:v>8.8811782094999998</c:v>
                </c:pt>
                <c:pt idx="10">
                  <c:v>8.08811782095</c:v>
                </c:pt>
                <c:pt idx="11">
                  <c:v>6.2088117820950002</c:v>
                </c:pt>
                <c:pt idx="12">
                  <c:v>6.9208811782095001</c:v>
                </c:pt>
                <c:pt idx="13">
                  <c:v>8.7920881178209491</c:v>
                </c:pt>
                <c:pt idx="14">
                  <c:v>7.1792088117820949</c:v>
                </c:pt>
                <c:pt idx="15">
                  <c:v>6.1179208811782093</c:v>
                </c:pt>
                <c:pt idx="16">
                  <c:v>7.8117920881178211</c:v>
                </c:pt>
                <c:pt idx="17">
                  <c:v>8.8811792088117816</c:v>
                </c:pt>
                <c:pt idx="18">
                  <c:v>8.088117920881178</c:v>
                </c:pt>
                <c:pt idx="19">
                  <c:v>8.0088117920881174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9-40C7-B87D-38DEF4EC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95616"/>
        <c:axId val="1173996096"/>
      </c:lineChart>
      <c:catAx>
        <c:axId val="11739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3996096"/>
        <c:crosses val="autoZero"/>
        <c:auto val="1"/>
        <c:lblAlgn val="ctr"/>
        <c:lblOffset val="100"/>
        <c:noMultiLvlLbl val="0"/>
      </c:catAx>
      <c:valAx>
        <c:axId val="117399609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39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759616</xdr:colOff>
      <xdr:row>12</xdr:row>
      <xdr:rowOff>61913</xdr:rowOff>
    </xdr:from>
    <xdr:to>
      <xdr:col>13</xdr:col>
      <xdr:colOff>552449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3EDBFC-C627-2700-42FF-4AFA20237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107156</xdr:colOff>
      <xdr:row>4</xdr:row>
      <xdr:rowOff>4763</xdr:rowOff>
    </xdr:from>
    <xdr:to>
      <xdr:col>16</xdr:col>
      <xdr:colOff>107156</xdr:colOff>
      <xdr:row>21</xdr:row>
      <xdr:rowOff>14289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3FD6D4-CD85-F9D9-3824-6BED472AA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A557-3E88-46E3-A781-57D981938E95}">
  <dimension ref="A1:N26"/>
  <sheetViews>
    <sheetView tabSelected="1" workbookViewId="0">
      <selection sqref="A1:N1"/>
    </sheetView>
  </sheetViews>
  <sheetFormatPr baseColWidth="10" defaultRowHeight="14.25" x14ac:dyDescent="0.45"/>
  <cols>
    <col min="1" max="1" width="11.3984375" customWidth="1"/>
    <col min="2" max="2" width="12.265625" bestFit="1" customWidth="1"/>
    <col min="3" max="3" width="10.59765625" customWidth="1"/>
  </cols>
  <sheetData>
    <row r="1" spans="1:14" ht="23.25" x14ac:dyDescent="0.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5">
      <c r="A2" s="5" t="s">
        <v>1</v>
      </c>
      <c r="B2" s="5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</row>
    <row r="3" spans="1:14" x14ac:dyDescent="0.45">
      <c r="A3" s="5"/>
      <c r="B3" s="5"/>
      <c r="C3" s="1" t="s">
        <v>10</v>
      </c>
      <c r="D3" s="1" t="s">
        <v>11</v>
      </c>
      <c r="E3" s="1" t="s">
        <v>10</v>
      </c>
      <c r="F3" s="1" t="s">
        <v>11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</row>
    <row r="4" spans="1:14" x14ac:dyDescent="0.45">
      <c r="A4" s="18" t="s">
        <v>12</v>
      </c>
      <c r="B4" s="7">
        <v>26</v>
      </c>
      <c r="C4" s="7"/>
      <c r="D4" s="7"/>
      <c r="E4" s="7"/>
      <c r="F4" s="7"/>
      <c r="G4" s="7">
        <v>9</v>
      </c>
      <c r="H4" s="19">
        <f>ABS(G4-$B4)/$B4</f>
        <v>0.65384615384615385</v>
      </c>
      <c r="I4" s="7">
        <v>11</v>
      </c>
      <c r="J4" s="19">
        <f>ABS(I4-$B4)/$B4</f>
        <v>0.57692307692307687</v>
      </c>
      <c r="K4" s="19">
        <f>$B$26+$B$25*1</f>
        <v>30.000000000000004</v>
      </c>
      <c r="L4" s="19">
        <f>ABS(K4-$B4)/$B4</f>
        <v>0.15384615384615399</v>
      </c>
      <c r="M4" s="19"/>
      <c r="N4" s="7"/>
    </row>
    <row r="5" spans="1:14" x14ac:dyDescent="0.45">
      <c r="A5" s="18" t="s">
        <v>13</v>
      </c>
      <c r="B5" s="7">
        <v>30</v>
      </c>
      <c r="C5" s="7"/>
      <c r="D5" s="7"/>
      <c r="E5" s="7"/>
      <c r="F5" s="7"/>
      <c r="G5" s="19">
        <f>G4+0.9*($B4-G4)</f>
        <v>24.3</v>
      </c>
      <c r="H5" s="19">
        <f>ABS(G5-$B5)/$B5</f>
        <v>0.18999999999999997</v>
      </c>
      <c r="I5" s="19">
        <f>I4+0.1*($B4-I4)</f>
        <v>12.5</v>
      </c>
      <c r="J5" s="19">
        <f>ABS(I5-$B5)/$B5</f>
        <v>0.58333333333333337</v>
      </c>
      <c r="K5" s="19">
        <f>$B$26+$B$25*2</f>
        <v>26.800000000000004</v>
      </c>
      <c r="L5" s="19">
        <f>ABS(K5-$B5)/$B5</f>
        <v>0.10666666666666652</v>
      </c>
      <c r="M5" s="19"/>
      <c r="N5" s="7"/>
    </row>
    <row r="6" spans="1:14" x14ac:dyDescent="0.45">
      <c r="A6" s="18" t="s">
        <v>14</v>
      </c>
      <c r="B6" s="7">
        <v>28</v>
      </c>
      <c r="C6" s="7"/>
      <c r="D6" s="7"/>
      <c r="E6" s="7"/>
      <c r="F6" s="7"/>
      <c r="G6" s="19">
        <f t="shared" ref="G6:G10" si="0">G5+0.9*($B5-G5)</f>
        <v>29.43</v>
      </c>
      <c r="H6" s="19">
        <f t="shared" ref="H6:J8" si="1">ABS(G6-$B6)/$B6</f>
        <v>5.1071428571428559E-2</v>
      </c>
      <c r="I6" s="19">
        <f t="shared" ref="I6:I9" si="2">I5+0.1*($B5-I5)</f>
        <v>14.25</v>
      </c>
      <c r="J6" s="19">
        <f t="shared" si="1"/>
        <v>0.49107142857142855</v>
      </c>
      <c r="K6" s="19">
        <f>$B$26+$B$25*3</f>
        <v>23.6</v>
      </c>
      <c r="L6" s="19">
        <f t="shared" ref="L6:N6" si="3">ABS(K6-$B6)/$B6</f>
        <v>0.15714285714285708</v>
      </c>
      <c r="M6" s="19">
        <f>$D$26+$D$25*3</f>
        <v>26.666666666666671</v>
      </c>
      <c r="N6" s="19">
        <f t="shared" si="3"/>
        <v>4.761904761904745E-2</v>
      </c>
    </row>
    <row r="7" spans="1:14" x14ac:dyDescent="0.45">
      <c r="A7" s="18" t="s">
        <v>15</v>
      </c>
      <c r="B7" s="7">
        <v>18</v>
      </c>
      <c r="C7" s="19">
        <f>($B6*3+$B5*2+$B4*1)/6</f>
        <v>28.333333333333332</v>
      </c>
      <c r="D7" s="19">
        <f>ABS(C7-$B7)/$B7</f>
        <v>0.57407407407407396</v>
      </c>
      <c r="E7" s="19">
        <f>($B6*1+$B5*1+$B4*1)/3</f>
        <v>28</v>
      </c>
      <c r="F7" s="19">
        <f>ABS(E7-$B7)/$B7</f>
        <v>0.55555555555555558</v>
      </c>
      <c r="G7" s="19">
        <f t="shared" si="0"/>
        <v>28.143000000000001</v>
      </c>
      <c r="H7" s="19">
        <f t="shared" si="1"/>
        <v>0.5635</v>
      </c>
      <c r="I7" s="19">
        <f t="shared" si="2"/>
        <v>15.625</v>
      </c>
      <c r="J7" s="19">
        <f t="shared" si="1"/>
        <v>0.13194444444444445</v>
      </c>
      <c r="K7" s="19">
        <f>$B$26+$B$25*4</f>
        <v>20.400000000000002</v>
      </c>
      <c r="L7" s="19">
        <f t="shared" ref="L7:N7" si="4">ABS(K7-$B7)/$B7</f>
        <v>0.13333333333333344</v>
      </c>
      <c r="M7" s="19">
        <f>$D$26+$D$25*4</f>
        <v>20.666666666666671</v>
      </c>
      <c r="N7" s="19">
        <f t="shared" si="4"/>
        <v>0.14814814814814842</v>
      </c>
    </row>
    <row r="8" spans="1:14" x14ac:dyDescent="0.45">
      <c r="A8" s="18" t="s">
        <v>16</v>
      </c>
      <c r="B8" s="7">
        <v>16</v>
      </c>
      <c r="C8" s="19">
        <f t="shared" ref="C8:E9" si="5">($B7*3+$B6*2+$B5*1)/6</f>
        <v>23.333333333333332</v>
      </c>
      <c r="D8" s="19">
        <f>ABS(C8-$B8)/$B8</f>
        <v>0.45833333333333326</v>
      </c>
      <c r="E8" s="19">
        <f>($B7*1+$B6*1+$B5*1)/3</f>
        <v>25.333333333333332</v>
      </c>
      <c r="F8" s="19">
        <f>ABS(E8-$B8)/$B8</f>
        <v>0.58333333333333326</v>
      </c>
      <c r="G8" s="19">
        <f t="shared" si="0"/>
        <v>19.014299999999999</v>
      </c>
      <c r="H8" s="19">
        <f t="shared" si="1"/>
        <v>0.18839374999999992</v>
      </c>
      <c r="I8" s="19">
        <f t="shared" si="2"/>
        <v>15.862500000000001</v>
      </c>
      <c r="J8" s="19">
        <f t="shared" si="1"/>
        <v>8.5937499999999556E-3</v>
      </c>
      <c r="K8" s="19">
        <f>$B$26+$B$25*5</f>
        <v>17.200000000000003</v>
      </c>
      <c r="L8" s="19">
        <f t="shared" ref="L8:N8" si="6">ABS(K8-$B8)/$B8</f>
        <v>7.5000000000000178E-2</v>
      </c>
      <c r="M8" s="19">
        <f>$D$26+$D$25*5</f>
        <v>14.666666666666671</v>
      </c>
      <c r="N8" s="19">
        <f t="shared" si="6"/>
        <v>8.3333333333333037E-2</v>
      </c>
    </row>
    <row r="9" spans="1:14" x14ac:dyDescent="0.45">
      <c r="A9" s="18" t="s">
        <v>17</v>
      </c>
      <c r="B9" s="7"/>
      <c r="C9" s="19">
        <f t="shared" si="5"/>
        <v>18.666666666666668</v>
      </c>
      <c r="D9" s="7"/>
      <c r="E9" s="19">
        <f>($B8*1+$B7*1+$B6*1)/3</f>
        <v>20.666666666666668</v>
      </c>
      <c r="F9" s="7"/>
      <c r="G9" s="19">
        <f t="shared" si="0"/>
        <v>16.30143</v>
      </c>
      <c r="H9" s="7"/>
      <c r="I9" s="19">
        <f t="shared" si="2"/>
        <v>15.876250000000001</v>
      </c>
      <c r="J9" s="7"/>
      <c r="K9" s="19">
        <f>$B$26+$B$25*6</f>
        <v>14</v>
      </c>
      <c r="L9" s="19"/>
      <c r="M9" s="19">
        <f>$D$26+$D$25*6</f>
        <v>8.6666666666666714</v>
      </c>
      <c r="N9" s="7"/>
    </row>
    <row r="10" spans="1:14" x14ac:dyDescent="0.45">
      <c r="A10" s="18" t="s">
        <v>18</v>
      </c>
      <c r="B10" s="7"/>
      <c r="C10" s="19">
        <f>(TRUNC(C9)*3+$B8*2+$B7*1)/6</f>
        <v>17.333333333333332</v>
      </c>
      <c r="D10" s="7"/>
      <c r="E10" s="19">
        <f>(TRUNC(E9)*1+$B8*1+$B7*1)/3</f>
        <v>18</v>
      </c>
      <c r="F10" s="7"/>
      <c r="G10" s="19">
        <f>G9+0.9*(TRUNC($G9)-G9)</f>
        <v>16.030142999999999</v>
      </c>
      <c r="H10" s="7"/>
      <c r="I10" s="19">
        <f>$I9+0.1*(TRUNC($I9)-$I9)</f>
        <v>15.788625</v>
      </c>
      <c r="J10" s="7"/>
      <c r="K10" s="19">
        <f>$B$26+$B$25*7</f>
        <v>10.8</v>
      </c>
      <c r="L10" s="19"/>
      <c r="M10" s="19">
        <f>$D$26+$D$25*7</f>
        <v>2.6666666666666714</v>
      </c>
      <c r="N10" s="7"/>
    </row>
    <row r="11" spans="1:14" x14ac:dyDescent="0.45">
      <c r="A11" s="18" t="s">
        <v>19</v>
      </c>
      <c r="B11" s="7"/>
      <c r="C11" s="19">
        <f>(TRUNC(C10)*3+TRUNC(C9)*2+$B8*1)/6</f>
        <v>17.166666666666668</v>
      </c>
      <c r="D11" s="7"/>
      <c r="E11" s="19">
        <f>(TRUNC(E10)*1+TRUNC(E9)*1+$B8*1)/3</f>
        <v>18</v>
      </c>
      <c r="F11" s="7"/>
      <c r="G11" s="19">
        <f>G10+0.9*(TRUNC($G10)-G10)</f>
        <v>16.0030143</v>
      </c>
      <c r="H11" s="7"/>
      <c r="I11" s="19">
        <f>$I10+0.1*(TRUNC($I10)-$I10)</f>
        <v>15.7097625</v>
      </c>
      <c r="J11" s="7"/>
      <c r="K11" s="19">
        <f>$B$26+$B$25*8</f>
        <v>7.6000000000000014</v>
      </c>
      <c r="L11" s="19"/>
      <c r="M11" s="19">
        <f>$D$26+$D$25*8</f>
        <v>-3.3333333333333286</v>
      </c>
      <c r="N11" s="7"/>
    </row>
    <row r="12" spans="1:14" x14ac:dyDescent="0.45">
      <c r="A12" s="6" t="s">
        <v>21</v>
      </c>
      <c r="B12" s="4">
        <f>SUM(B4:B8)</f>
        <v>118</v>
      </c>
      <c r="C12" s="17">
        <f>SUM(C9:C11)</f>
        <v>53.166666666666671</v>
      </c>
      <c r="D12" s="17">
        <f>AVERAGE(D7:D8)</f>
        <v>0.51620370370370361</v>
      </c>
      <c r="E12" s="17">
        <f>SUM(E9:E11)</f>
        <v>56.666666666666671</v>
      </c>
      <c r="F12" s="17">
        <f>AVERAGE(F7:F8)</f>
        <v>0.56944444444444442</v>
      </c>
      <c r="G12" s="17">
        <f>SUM(G9:G11)</f>
        <v>48.334587299999995</v>
      </c>
      <c r="H12" s="17">
        <f>AVERAGE(H4:H8)</f>
        <v>0.32936226648351646</v>
      </c>
      <c r="I12" s="17">
        <f>SUM(I9:I11)</f>
        <v>47.374637500000006</v>
      </c>
      <c r="J12" s="17">
        <f>AVERAGE(J4:J8)</f>
        <v>0.3583732066544566</v>
      </c>
      <c r="K12" s="17">
        <f>SUM(K9:K11)</f>
        <v>32.400000000000006</v>
      </c>
      <c r="L12" s="17">
        <f>AVERAGE(L4:L8)</f>
        <v>0.12519780219780224</v>
      </c>
      <c r="M12" s="17">
        <f>SUM(M9:M11)</f>
        <v>8.0000000000000142</v>
      </c>
      <c r="N12" s="17">
        <f>AVERAGE(N6:N8)</f>
        <v>9.3033509700176306E-2</v>
      </c>
    </row>
    <row r="16" spans="1:14" ht="14.65" thickBot="1" x14ac:dyDescent="0.5"/>
    <row r="17" spans="1:4" ht="14.65" thickBot="1" x14ac:dyDescent="0.5">
      <c r="A17" s="14" t="s">
        <v>22</v>
      </c>
      <c r="B17" s="15"/>
      <c r="C17" s="15"/>
      <c r="D17" s="16"/>
    </row>
    <row r="18" spans="1:4" x14ac:dyDescent="0.45">
      <c r="A18" s="8" t="s">
        <v>7</v>
      </c>
      <c r="B18" s="9"/>
      <c r="C18" s="8" t="s">
        <v>8</v>
      </c>
      <c r="D18" s="9"/>
    </row>
    <row r="19" spans="1:4" x14ac:dyDescent="0.45">
      <c r="A19" s="10" t="s">
        <v>23</v>
      </c>
      <c r="B19" s="11">
        <f>1+2+3+4+5</f>
        <v>15</v>
      </c>
      <c r="C19" s="10" t="s">
        <v>23</v>
      </c>
      <c r="D19" s="11">
        <f>3+4+5</f>
        <v>12</v>
      </c>
    </row>
    <row r="20" spans="1:4" x14ac:dyDescent="0.45">
      <c r="A20" s="10" t="s">
        <v>24</v>
      </c>
      <c r="B20" s="11">
        <f>SUM(B4:B8)</f>
        <v>118</v>
      </c>
      <c r="C20" s="10" t="s">
        <v>24</v>
      </c>
      <c r="D20" s="11">
        <f>SUM(B6:B8)</f>
        <v>62</v>
      </c>
    </row>
    <row r="21" spans="1:4" x14ac:dyDescent="0.45">
      <c r="A21" s="10" t="s">
        <v>25</v>
      </c>
      <c r="B21" s="11">
        <f>1+4+9+16+25</f>
        <v>55</v>
      </c>
      <c r="C21" s="10" t="s">
        <v>25</v>
      </c>
      <c r="D21" s="11">
        <f>9+16+25</f>
        <v>50</v>
      </c>
    </row>
    <row r="22" spans="1:4" x14ac:dyDescent="0.45">
      <c r="A22" s="10" t="s">
        <v>26</v>
      </c>
      <c r="B22" s="11">
        <f>1*B4+2*B5+3*B6+4*B7+5*B8</f>
        <v>322</v>
      </c>
      <c r="C22" s="10" t="s">
        <v>26</v>
      </c>
      <c r="D22" s="11">
        <f>3*B6+4*B7+5*B8</f>
        <v>236</v>
      </c>
    </row>
    <row r="23" spans="1:4" x14ac:dyDescent="0.45">
      <c r="A23" s="10" t="s">
        <v>27</v>
      </c>
      <c r="B23" s="11">
        <f>B19/5</f>
        <v>3</v>
      </c>
      <c r="C23" s="10" t="s">
        <v>27</v>
      </c>
      <c r="D23" s="11">
        <f>D19/3</f>
        <v>4</v>
      </c>
    </row>
    <row r="24" spans="1:4" x14ac:dyDescent="0.45">
      <c r="A24" s="10" t="s">
        <v>28</v>
      </c>
      <c r="B24" s="11">
        <f>B20/5</f>
        <v>23.6</v>
      </c>
      <c r="C24" s="10" t="s">
        <v>28</v>
      </c>
      <c r="D24" s="11">
        <f>D20/3</f>
        <v>20.666666666666668</v>
      </c>
    </row>
    <row r="25" spans="1:4" x14ac:dyDescent="0.45">
      <c r="A25" s="10" t="s">
        <v>29</v>
      </c>
      <c r="B25" s="11">
        <f>(B22-5*B23*B24)/(B21-5*B23*B23)</f>
        <v>-3.2</v>
      </c>
      <c r="C25" s="10" t="s">
        <v>29</v>
      </c>
      <c r="D25" s="11">
        <f>(D22-3*D23*D24)/(D21-3*D23*D23)</f>
        <v>-6</v>
      </c>
    </row>
    <row r="26" spans="1:4" ht="14.65" thickBot="1" x14ac:dyDescent="0.5">
      <c r="A26" s="12" t="s">
        <v>30</v>
      </c>
      <c r="B26" s="13">
        <f>B24-B25*B23</f>
        <v>33.200000000000003</v>
      </c>
      <c r="C26" s="12" t="s">
        <v>30</v>
      </c>
      <c r="D26" s="13">
        <f>D24-D25*D23</f>
        <v>44.666666666666671</v>
      </c>
    </row>
  </sheetData>
  <mergeCells count="12">
    <mergeCell ref="M2:N2"/>
    <mergeCell ref="B2:B3"/>
    <mergeCell ref="A2:A3"/>
    <mergeCell ref="A18:B18"/>
    <mergeCell ref="C18:D18"/>
    <mergeCell ref="A17:D17"/>
    <mergeCell ref="A1:N1"/>
    <mergeCell ref="C2:D2"/>
    <mergeCell ref="E2:F2"/>
    <mergeCell ref="G2:H2"/>
    <mergeCell ref="I2:J2"/>
    <mergeCell ref="K2:L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7046-4632-4310-A499-BA67EFF1BF84}">
  <dimension ref="A1:J36"/>
  <sheetViews>
    <sheetView workbookViewId="0">
      <selection sqref="A1:J1"/>
    </sheetView>
  </sheetViews>
  <sheetFormatPr baseColWidth="10" defaultRowHeight="14.25" x14ac:dyDescent="0.45"/>
  <cols>
    <col min="2" max="2" width="12.265625" bestFit="1" customWidth="1"/>
  </cols>
  <sheetData>
    <row r="1" spans="1:10" ht="23.25" x14ac:dyDescent="0.7">
      <c r="A1" s="3" t="s">
        <v>31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45">
      <c r="A2" s="5" t="s">
        <v>1</v>
      </c>
      <c r="B2" s="5" t="s">
        <v>2</v>
      </c>
      <c r="C2" s="2" t="s">
        <v>9</v>
      </c>
      <c r="D2" s="2"/>
      <c r="E2" s="2" t="s">
        <v>7</v>
      </c>
      <c r="F2" s="2"/>
      <c r="G2" s="2" t="s">
        <v>3</v>
      </c>
      <c r="H2" s="2"/>
      <c r="I2" s="2" t="s">
        <v>5</v>
      </c>
      <c r="J2" s="2"/>
    </row>
    <row r="3" spans="1:10" x14ac:dyDescent="0.45">
      <c r="A3" s="5"/>
      <c r="B3" s="5"/>
      <c r="C3" s="1" t="s">
        <v>10</v>
      </c>
      <c r="D3" s="1" t="s">
        <v>11</v>
      </c>
      <c r="E3" s="1" t="s">
        <v>10</v>
      </c>
      <c r="F3" s="1" t="s">
        <v>11</v>
      </c>
      <c r="G3" s="1" t="s">
        <v>10</v>
      </c>
      <c r="H3" s="1" t="s">
        <v>11</v>
      </c>
      <c r="I3" s="1" t="s">
        <v>10</v>
      </c>
      <c r="J3" s="1" t="s">
        <v>11</v>
      </c>
    </row>
    <row r="4" spans="1:10" x14ac:dyDescent="0.45">
      <c r="A4" s="25" t="s">
        <v>32</v>
      </c>
      <c r="B4" s="7">
        <v>8</v>
      </c>
      <c r="C4" s="7"/>
      <c r="D4" s="7"/>
      <c r="E4" s="19">
        <f>$D$36+$D$35*1</f>
        <v>7.0000000000000009</v>
      </c>
      <c r="F4" s="19">
        <f>ABS(E4-$B4)/$B4</f>
        <v>0.12499999999999989</v>
      </c>
      <c r="G4" s="7"/>
      <c r="H4" s="7"/>
      <c r="I4" s="19">
        <v>7.5</v>
      </c>
      <c r="J4" s="19">
        <f t="shared" ref="F4:J20" si="0">ABS(I4-$B4)/$B4</f>
        <v>6.25E-2</v>
      </c>
    </row>
    <row r="5" spans="1:10" x14ac:dyDescent="0.45">
      <c r="A5" s="25" t="s">
        <v>33</v>
      </c>
      <c r="B5" s="7">
        <v>7</v>
      </c>
      <c r="C5" s="7"/>
      <c r="D5" s="7"/>
      <c r="E5" s="19">
        <f>$D$36+$D$35*2</f>
        <v>7.0514705882352944</v>
      </c>
      <c r="F5" s="19">
        <f t="shared" si="0"/>
        <v>7.3529411764706254E-3</v>
      </c>
      <c r="G5" s="7"/>
      <c r="H5" s="7"/>
      <c r="I5" s="19">
        <f>I4+0.9*(B4-I4)</f>
        <v>7.95</v>
      </c>
      <c r="J5" s="19">
        <f t="shared" ref="J5" si="1">ABS(I5-$B5)/$B5</f>
        <v>0.13571428571428573</v>
      </c>
    </row>
    <row r="6" spans="1:10" x14ac:dyDescent="0.45">
      <c r="A6" s="25" t="s">
        <v>34</v>
      </c>
      <c r="B6" s="7">
        <v>5</v>
      </c>
      <c r="C6" s="7"/>
      <c r="D6" s="7"/>
      <c r="E6" s="19">
        <f>$D$36+$D$35*3</f>
        <v>7.1029411764705888</v>
      </c>
      <c r="F6" s="19">
        <f t="shared" si="0"/>
        <v>0.42058823529411776</v>
      </c>
      <c r="G6" s="7"/>
      <c r="H6" s="7"/>
      <c r="I6" s="19">
        <f t="shared" ref="I6:I23" si="2">I5+0.9*(B5-I5)</f>
        <v>7.0949999999999998</v>
      </c>
      <c r="J6" s="19">
        <f t="shared" ref="J6" si="3">ABS(I6-$B6)/$B6</f>
        <v>0.41899999999999993</v>
      </c>
    </row>
    <row r="7" spans="1:10" x14ac:dyDescent="0.45">
      <c r="A7" s="25" t="s">
        <v>35</v>
      </c>
      <c r="B7" s="7">
        <v>7</v>
      </c>
      <c r="C7" s="7"/>
      <c r="D7" s="7"/>
      <c r="E7" s="19">
        <f>$D$36+$D$35*4</f>
        <v>7.1544117647058831</v>
      </c>
      <c r="F7" s="19">
        <f t="shared" si="0"/>
        <v>2.2058823529411877E-2</v>
      </c>
      <c r="G7" s="7"/>
      <c r="H7" s="7"/>
      <c r="I7" s="19">
        <f t="shared" si="2"/>
        <v>5.2095000000000002</v>
      </c>
      <c r="J7" s="19">
        <f t="shared" ref="J7" si="4">ABS(I7-$B7)/$B7</f>
        <v>0.25578571428571423</v>
      </c>
    </row>
    <row r="8" spans="1:10" x14ac:dyDescent="0.45">
      <c r="A8" s="25" t="s">
        <v>36</v>
      </c>
      <c r="B8" s="7">
        <v>9</v>
      </c>
      <c r="C8" s="7"/>
      <c r="D8" s="7"/>
      <c r="E8" s="19">
        <f>$D$36+$D$35*5</f>
        <v>7.2058823529411775</v>
      </c>
      <c r="F8" s="19">
        <f t="shared" si="0"/>
        <v>0.19934640522875804</v>
      </c>
      <c r="G8" s="19">
        <f>(B7+B6+B5+B4)/4</f>
        <v>6.75</v>
      </c>
      <c r="H8" s="19">
        <f t="shared" si="0"/>
        <v>0.25</v>
      </c>
      <c r="I8" s="19">
        <f t="shared" si="2"/>
        <v>6.8209499999999998</v>
      </c>
      <c r="J8" s="19">
        <f t="shared" ref="J8" si="5">ABS(I8-$B8)/$B8</f>
        <v>0.24211666666666667</v>
      </c>
    </row>
    <row r="9" spans="1:10" x14ac:dyDescent="0.45">
      <c r="A9" s="25" t="s">
        <v>37</v>
      </c>
      <c r="B9" s="7">
        <v>7</v>
      </c>
      <c r="C9" s="7"/>
      <c r="D9" s="7"/>
      <c r="E9" s="19">
        <f>$D$36+$D$35*6</f>
        <v>7.257352941176471</v>
      </c>
      <c r="F9" s="19">
        <f t="shared" si="0"/>
        <v>3.6764705882352998E-2</v>
      </c>
      <c r="G9" s="19">
        <f t="shared" ref="G9:G22" si="6">(B8+B7+B6+B5)/4</f>
        <v>7</v>
      </c>
      <c r="H9" s="19">
        <f t="shared" ref="H9" si="7">ABS(G9-$B9)/$B9</f>
        <v>0</v>
      </c>
      <c r="I9" s="19">
        <f t="shared" si="2"/>
        <v>8.782095</v>
      </c>
      <c r="J9" s="19">
        <f t="shared" ref="J9" si="8">ABS(I9-$B9)/$B9</f>
        <v>0.25458500000000001</v>
      </c>
    </row>
    <row r="10" spans="1:10" x14ac:dyDescent="0.45">
      <c r="A10" s="25" t="s">
        <v>38</v>
      </c>
      <c r="B10" s="7">
        <v>6</v>
      </c>
      <c r="C10" s="7"/>
      <c r="D10" s="7"/>
      <c r="E10" s="19">
        <f>$D$36+$D$35*7</f>
        <v>7.3088235294117654</v>
      </c>
      <c r="F10" s="19">
        <f t="shared" si="0"/>
        <v>0.2181372549019609</v>
      </c>
      <c r="G10" s="19">
        <f t="shared" si="6"/>
        <v>7</v>
      </c>
      <c r="H10" s="19">
        <f t="shared" ref="H10" si="9">ABS(G10-$B10)/$B10</f>
        <v>0.16666666666666666</v>
      </c>
      <c r="I10" s="19">
        <f t="shared" si="2"/>
        <v>7.1782094999999995</v>
      </c>
      <c r="J10" s="19">
        <f t="shared" ref="J10" si="10">ABS(I10-$B10)/$B10</f>
        <v>0.19636824999999991</v>
      </c>
    </row>
    <row r="11" spans="1:10" x14ac:dyDescent="0.45">
      <c r="A11" s="25" t="s">
        <v>39</v>
      </c>
      <c r="B11" s="7">
        <v>8</v>
      </c>
      <c r="C11" s="7"/>
      <c r="D11" s="7"/>
      <c r="E11" s="19">
        <f>$D$36+$D$35*8</f>
        <v>7.3602941176470598</v>
      </c>
      <c r="F11" s="19">
        <f t="shared" si="0"/>
        <v>7.996323529411753E-2</v>
      </c>
      <c r="G11" s="19">
        <f t="shared" si="6"/>
        <v>7.25</v>
      </c>
      <c r="H11" s="19">
        <f t="shared" ref="H11" si="11">ABS(G11-$B11)/$B11</f>
        <v>9.375E-2</v>
      </c>
      <c r="I11" s="19">
        <f t="shared" si="2"/>
        <v>6.1178209499999996</v>
      </c>
      <c r="J11" s="19">
        <f t="shared" ref="J11" si="12">ABS(I11-$B11)/$B11</f>
        <v>0.23527238125000005</v>
      </c>
    </row>
    <row r="12" spans="1:10" x14ac:dyDescent="0.45">
      <c r="A12" s="25" t="s">
        <v>40</v>
      </c>
      <c r="B12" s="7">
        <v>9</v>
      </c>
      <c r="C12" s="7"/>
      <c r="D12" s="7"/>
      <c r="E12" s="19">
        <f>$D$36+$D$35*9</f>
        <v>7.4117647058823533</v>
      </c>
      <c r="F12" s="19">
        <f t="shared" si="0"/>
        <v>0.17647058823529407</v>
      </c>
      <c r="G12" s="19">
        <f t="shared" si="6"/>
        <v>7.5</v>
      </c>
      <c r="H12" s="19">
        <f t="shared" ref="H12" si="13">ABS(G12-$B12)/$B12</f>
        <v>0.16666666666666666</v>
      </c>
      <c r="I12" s="19">
        <f t="shared" si="2"/>
        <v>7.8117820949999999</v>
      </c>
      <c r="J12" s="19">
        <f t="shared" ref="J12" si="14">ABS(I12-$B12)/$B12</f>
        <v>0.13202421166666667</v>
      </c>
    </row>
    <row r="13" spans="1:10" x14ac:dyDescent="0.45">
      <c r="A13" s="25" t="s">
        <v>41</v>
      </c>
      <c r="B13" s="7">
        <v>8</v>
      </c>
      <c r="C13" s="7"/>
      <c r="D13" s="7"/>
      <c r="E13" s="19">
        <f>$D$36+$D$35*10</f>
        <v>7.4632352941176476</v>
      </c>
      <c r="F13" s="19">
        <f t="shared" si="0"/>
        <v>6.7095588235294046E-2</v>
      </c>
      <c r="G13" s="19">
        <f t="shared" si="6"/>
        <v>7.5</v>
      </c>
      <c r="H13" s="19">
        <f t="shared" ref="H13" si="15">ABS(G13-$B13)/$B13</f>
        <v>6.25E-2</v>
      </c>
      <c r="I13" s="19">
        <f t="shared" si="2"/>
        <v>8.8811782094999998</v>
      </c>
      <c r="J13" s="19">
        <f t="shared" ref="J13" si="16">ABS(I13-$B13)/$B13</f>
        <v>0.11014727618749998</v>
      </c>
    </row>
    <row r="14" spans="1:10" x14ac:dyDescent="0.45">
      <c r="A14" s="25" t="s">
        <v>42</v>
      </c>
      <c r="B14" s="7">
        <v>6</v>
      </c>
      <c r="C14" s="7"/>
      <c r="D14" s="7"/>
      <c r="E14" s="19">
        <f>$D$36+$D$35*11</f>
        <v>7.514705882352942</v>
      </c>
      <c r="F14" s="19">
        <f t="shared" si="0"/>
        <v>0.25245098039215702</v>
      </c>
      <c r="G14" s="19">
        <f t="shared" si="6"/>
        <v>7.75</v>
      </c>
      <c r="H14" s="19">
        <f t="shared" ref="H14" si="17">ABS(G14-$B14)/$B14</f>
        <v>0.29166666666666669</v>
      </c>
      <c r="I14" s="19">
        <f t="shared" si="2"/>
        <v>8.08811782095</v>
      </c>
      <c r="J14" s="19">
        <f t="shared" ref="J14" si="18">ABS(I14-$B14)/$B14</f>
        <v>0.34801963682499998</v>
      </c>
    </row>
    <row r="15" spans="1:10" x14ac:dyDescent="0.45">
      <c r="A15" s="25" t="s">
        <v>43</v>
      </c>
      <c r="B15" s="7">
        <v>7</v>
      </c>
      <c r="C15" s="7"/>
      <c r="D15" s="7"/>
      <c r="E15" s="19">
        <f>$D$36+$D$35*12</f>
        <v>7.5661764705882355</v>
      </c>
      <c r="F15" s="19">
        <f t="shared" si="0"/>
        <v>8.0882352941176502E-2</v>
      </c>
      <c r="G15" s="19">
        <f t="shared" si="6"/>
        <v>7.75</v>
      </c>
      <c r="H15" s="19">
        <f t="shared" ref="H15" si="19">ABS(G15-$B15)/$B15</f>
        <v>0.10714285714285714</v>
      </c>
      <c r="I15" s="19">
        <f t="shared" si="2"/>
        <v>6.2088117820950002</v>
      </c>
      <c r="J15" s="19">
        <f t="shared" ref="J15" si="20">ABS(I15-$B15)/$B15</f>
        <v>0.11302688827214283</v>
      </c>
    </row>
    <row r="16" spans="1:10" x14ac:dyDescent="0.45">
      <c r="A16" s="25" t="s">
        <v>12</v>
      </c>
      <c r="B16" s="7">
        <v>9</v>
      </c>
      <c r="C16" s="7"/>
      <c r="D16" s="7"/>
      <c r="E16" s="19">
        <f>$D$36+$D$35*13</f>
        <v>7.6176470588235299</v>
      </c>
      <c r="F16" s="19">
        <f t="shared" si="0"/>
        <v>0.15359477124183002</v>
      </c>
      <c r="G16" s="19">
        <f t="shared" si="6"/>
        <v>7.5</v>
      </c>
      <c r="H16" s="19">
        <f t="shared" ref="H16" si="21">ABS(G16-$B16)/$B16</f>
        <v>0.16666666666666666</v>
      </c>
      <c r="I16" s="19">
        <f t="shared" si="2"/>
        <v>6.9208811782095001</v>
      </c>
      <c r="J16" s="19">
        <f t="shared" ref="J16" si="22">ABS(I16-$B16)/$B16</f>
        <v>0.23101320242116666</v>
      </c>
    </row>
    <row r="17" spans="1:10" x14ac:dyDescent="0.45">
      <c r="A17" s="25" t="s">
        <v>13</v>
      </c>
      <c r="B17" s="7">
        <v>7</v>
      </c>
      <c r="C17" s="7"/>
      <c r="D17" s="7"/>
      <c r="E17" s="19">
        <f>$D$36+$D$35*14</f>
        <v>7.6691176470588243</v>
      </c>
      <c r="F17" s="19">
        <f t="shared" si="0"/>
        <v>9.5588235294117752E-2</v>
      </c>
      <c r="G17" s="19">
        <f t="shared" si="6"/>
        <v>7.5</v>
      </c>
      <c r="H17" s="19">
        <f t="shared" ref="H17" si="23">ABS(G17-$B17)/$B17</f>
        <v>7.1428571428571425E-2</v>
      </c>
      <c r="I17" s="19">
        <f t="shared" si="2"/>
        <v>8.7920881178209491</v>
      </c>
      <c r="J17" s="19">
        <f t="shared" ref="J17" si="24">ABS(I17-$B17)/$B17</f>
        <v>0.25601258826013557</v>
      </c>
    </row>
    <row r="18" spans="1:10" x14ac:dyDescent="0.45">
      <c r="A18" s="25" t="s">
        <v>14</v>
      </c>
      <c r="B18" s="7">
        <v>6</v>
      </c>
      <c r="C18" s="7"/>
      <c r="D18" s="7"/>
      <c r="E18" s="19">
        <f>$D$36+$D$35*15</f>
        <v>7.7205882352941178</v>
      </c>
      <c r="F18" s="19">
        <f t="shared" si="0"/>
        <v>0.28676470588235298</v>
      </c>
      <c r="G18" s="19">
        <f t="shared" si="6"/>
        <v>7.25</v>
      </c>
      <c r="H18" s="19">
        <f t="shared" ref="H18" si="25">ABS(G18-$B18)/$B18</f>
        <v>0.20833333333333334</v>
      </c>
      <c r="I18" s="19">
        <f t="shared" si="2"/>
        <v>7.1792088117820949</v>
      </c>
      <c r="J18" s="19">
        <f t="shared" ref="J18" si="26">ABS(I18-$B18)/$B18</f>
        <v>0.19653480196368248</v>
      </c>
    </row>
    <row r="19" spans="1:10" x14ac:dyDescent="0.45">
      <c r="A19" s="25" t="s">
        <v>15</v>
      </c>
      <c r="B19" s="7">
        <v>8</v>
      </c>
      <c r="C19" s="7"/>
      <c r="D19" s="7"/>
      <c r="E19" s="19">
        <f>$D$36+$D$35*16</f>
        <v>7.7720588235294121</v>
      </c>
      <c r="F19" s="19">
        <f t="shared" si="0"/>
        <v>2.8492647058823484E-2</v>
      </c>
      <c r="G19" s="19">
        <f t="shared" si="6"/>
        <v>7.25</v>
      </c>
      <c r="H19" s="19">
        <f t="shared" ref="H19" si="27">ABS(G19-$B19)/$B19</f>
        <v>9.375E-2</v>
      </c>
      <c r="I19" s="19">
        <f t="shared" si="2"/>
        <v>6.1179208811782093</v>
      </c>
      <c r="J19" s="19">
        <f t="shared" ref="J19" si="28">ABS(I19-$B19)/$B19</f>
        <v>0.23525988985272384</v>
      </c>
    </row>
    <row r="20" spans="1:10" x14ac:dyDescent="0.45">
      <c r="A20" s="25" t="s">
        <v>16</v>
      </c>
      <c r="B20" s="7">
        <v>9</v>
      </c>
      <c r="C20" s="19">
        <v>9</v>
      </c>
      <c r="D20" s="7"/>
      <c r="E20" s="19">
        <f>$D$36+$D$35*17</f>
        <v>7.8235294117647065</v>
      </c>
      <c r="F20" s="19">
        <f t="shared" si="0"/>
        <v>0.13071895424836594</v>
      </c>
      <c r="G20" s="19">
        <f t="shared" si="6"/>
        <v>7.5</v>
      </c>
      <c r="H20" s="19">
        <f t="shared" ref="H20" si="29">ABS(G20-$B20)/$B20</f>
        <v>0.16666666666666666</v>
      </c>
      <c r="I20" s="19">
        <f t="shared" si="2"/>
        <v>7.8117920881178211</v>
      </c>
      <c r="J20" s="19">
        <f t="shared" ref="J20" si="30">ABS(I20-$B20)/$B20</f>
        <v>0.13202310132024209</v>
      </c>
    </row>
    <row r="21" spans="1:10" x14ac:dyDescent="0.45">
      <c r="A21" s="25" t="s">
        <v>17</v>
      </c>
      <c r="B21" s="7"/>
      <c r="C21" s="19">
        <f>B31*$B$29/4</f>
        <v>7.3728813559322042</v>
      </c>
      <c r="D21" s="7"/>
      <c r="E21" s="19">
        <f>$D$36+$D$35*18</f>
        <v>7.8750000000000009</v>
      </c>
      <c r="F21" s="7"/>
      <c r="G21" s="19">
        <f t="shared" si="6"/>
        <v>7.5</v>
      </c>
      <c r="H21" s="7"/>
      <c r="I21" s="19">
        <f t="shared" si="2"/>
        <v>8.8811792088117816</v>
      </c>
      <c r="J21" s="7"/>
    </row>
    <row r="22" spans="1:10" x14ac:dyDescent="0.45">
      <c r="A22" s="25" t="s">
        <v>18</v>
      </c>
      <c r="B22" s="7"/>
      <c r="C22" s="19">
        <f t="shared" ref="C22:C24" si="31">B32*$B$29/4</f>
        <v>5.8474576271186445</v>
      </c>
      <c r="D22" s="7"/>
      <c r="E22" s="19">
        <f>$D$36+$D$35*19</f>
        <v>7.9264705882352944</v>
      </c>
      <c r="F22" s="7"/>
      <c r="G22" s="19">
        <f>(TRUNC(G21)+B20+B19+B18)/4</f>
        <v>7.5</v>
      </c>
      <c r="H22" s="7"/>
      <c r="I22" s="19">
        <f>I21+0.9*(TRUNC(I21)-I21)</f>
        <v>8.088117920881178</v>
      </c>
      <c r="J22" s="7"/>
    </row>
    <row r="23" spans="1:10" x14ac:dyDescent="0.45">
      <c r="A23" s="25" t="s">
        <v>19</v>
      </c>
      <c r="B23" s="7"/>
      <c r="C23" s="19">
        <f t="shared" si="31"/>
        <v>7.6271186440677958</v>
      </c>
      <c r="D23" s="7"/>
      <c r="E23" s="19">
        <f>$D$36+$D$35*20</f>
        <v>7.9779411764705888</v>
      </c>
      <c r="F23" s="7"/>
      <c r="G23" s="19">
        <f>(TRUNC(G22)+TRUNC(G21)+B20+B19)/4</f>
        <v>7.75</v>
      </c>
      <c r="H23" s="7"/>
      <c r="I23" s="19">
        <f>I22+0.9*(TRUNC(I22)-I22)</f>
        <v>8.0088117920881174</v>
      </c>
      <c r="J23" s="7"/>
    </row>
    <row r="24" spans="1:10" x14ac:dyDescent="0.45">
      <c r="A24" s="25" t="s">
        <v>44</v>
      </c>
      <c r="B24" s="7"/>
      <c r="C24" s="19">
        <f t="shared" si="31"/>
        <v>9.1525423728813564</v>
      </c>
      <c r="D24" s="7"/>
      <c r="E24" s="19"/>
      <c r="F24" s="7"/>
      <c r="G24" s="7"/>
      <c r="H24" s="7"/>
      <c r="I24" s="7"/>
      <c r="J24" s="7"/>
    </row>
    <row r="25" spans="1:10" x14ac:dyDescent="0.45">
      <c r="A25" s="6" t="s">
        <v>21</v>
      </c>
      <c r="B25" s="4">
        <f>SUM(B4:B20)</f>
        <v>126</v>
      </c>
      <c r="C25" s="17">
        <f>SUM(C21:C24)</f>
        <v>30</v>
      </c>
      <c r="D25" s="24" t="s">
        <v>20</v>
      </c>
      <c r="E25" s="17">
        <f>SUM(E21:E23)</f>
        <v>23.779411764705884</v>
      </c>
      <c r="F25" s="17">
        <f>AVERAGE(F4:F20)</f>
        <v>0.14007473087274125</v>
      </c>
      <c r="G25" s="17">
        <f>SUM(G21:G23)</f>
        <v>22.75</v>
      </c>
      <c r="H25" s="17">
        <f>AVERAGE(H8:H20)</f>
        <v>0.14194139194139194</v>
      </c>
      <c r="I25" s="17">
        <f>SUM(I21:I23)</f>
        <v>24.978108921781079</v>
      </c>
      <c r="J25" s="17">
        <f>AVERAGE(J4:J20)</f>
        <v>0.20914140556976044</v>
      </c>
    </row>
    <row r="26" spans="1:10" ht="14.65" thickBot="1" x14ac:dyDescent="0.5"/>
    <row r="27" spans="1:10" ht="14.65" thickBot="1" x14ac:dyDescent="0.5">
      <c r="A27" s="21" t="s">
        <v>22</v>
      </c>
      <c r="B27" s="20"/>
      <c r="C27" s="15"/>
      <c r="D27" s="16"/>
    </row>
    <row r="28" spans="1:10" x14ac:dyDescent="0.45">
      <c r="A28" s="8" t="s">
        <v>9</v>
      </c>
      <c r="B28" s="9"/>
      <c r="C28" s="8" t="s">
        <v>7</v>
      </c>
      <c r="D28" s="9"/>
    </row>
    <row r="29" spans="1:10" x14ac:dyDescent="0.45">
      <c r="A29" s="10" t="s">
        <v>45</v>
      </c>
      <c r="B29" s="11">
        <v>30</v>
      </c>
      <c r="C29" s="10" t="s">
        <v>23</v>
      </c>
      <c r="D29" s="11">
        <f>1+2+3+4+5+6+7+8+9+10+11+12+13+14+15+16+17</f>
        <v>153</v>
      </c>
    </row>
    <row r="30" spans="1:10" x14ac:dyDescent="0.45">
      <c r="A30" s="10" t="s">
        <v>50</v>
      </c>
      <c r="B30" s="11">
        <f>AVERAGE(B5:B20)</f>
        <v>7.375</v>
      </c>
      <c r="C30" s="10" t="s">
        <v>24</v>
      </c>
      <c r="D30" s="11">
        <f>SUM(B4:B20)</f>
        <v>126</v>
      </c>
    </row>
    <row r="31" spans="1:10" x14ac:dyDescent="0.45">
      <c r="A31" s="10" t="s">
        <v>46</v>
      </c>
      <c r="B31" s="22">
        <f>AVERAGE(B17,B13,B9,B5)/$B$30</f>
        <v>0.98305084745762716</v>
      </c>
      <c r="C31" s="10" t="s">
        <v>25</v>
      </c>
      <c r="D31" s="11">
        <v>1785</v>
      </c>
    </row>
    <row r="32" spans="1:10" x14ac:dyDescent="0.45">
      <c r="A32" s="10" t="s">
        <v>47</v>
      </c>
      <c r="B32" s="22">
        <f t="shared" ref="B32:B34" si="32">AVERAGE(B18,B14,B10,B6)/$B$30</f>
        <v>0.77966101694915257</v>
      </c>
      <c r="C32" s="10" t="s">
        <v>26</v>
      </c>
      <c r="D32" s="11">
        <v>1155</v>
      </c>
    </row>
    <row r="33" spans="1:4" x14ac:dyDescent="0.45">
      <c r="A33" s="10" t="s">
        <v>48</v>
      </c>
      <c r="B33" s="22">
        <f t="shared" si="32"/>
        <v>1.0169491525423728</v>
      </c>
      <c r="C33" s="10" t="s">
        <v>27</v>
      </c>
      <c r="D33" s="11">
        <f>D29/17</f>
        <v>9</v>
      </c>
    </row>
    <row r="34" spans="1:4" ht="14.65" thickBot="1" x14ac:dyDescent="0.5">
      <c r="A34" s="12" t="s">
        <v>49</v>
      </c>
      <c r="B34" s="23">
        <f t="shared" si="32"/>
        <v>1.2203389830508475</v>
      </c>
      <c r="C34" s="10" t="s">
        <v>28</v>
      </c>
      <c r="D34" s="11">
        <f>D30/17</f>
        <v>7.4117647058823533</v>
      </c>
    </row>
    <row r="35" spans="1:4" x14ac:dyDescent="0.45">
      <c r="C35" s="10" t="s">
        <v>29</v>
      </c>
      <c r="D35" s="11">
        <f>(D32-17*D33*D34)/(D31-17*D33*D33)</f>
        <v>5.1470588235294115E-2</v>
      </c>
    </row>
    <row r="36" spans="1:4" ht="14.65" thickBot="1" x14ac:dyDescent="0.5">
      <c r="C36" s="12" t="s">
        <v>30</v>
      </c>
      <c r="D36" s="13">
        <f>D34-D35*D33</f>
        <v>6.9485294117647065</v>
      </c>
    </row>
  </sheetData>
  <mergeCells count="10">
    <mergeCell ref="A27:D27"/>
    <mergeCell ref="A28:B28"/>
    <mergeCell ref="C28:D28"/>
    <mergeCell ref="A2:A3"/>
    <mergeCell ref="B2:B3"/>
    <mergeCell ref="C2:D2"/>
    <mergeCell ref="E2:F2"/>
    <mergeCell ref="G2:H2"/>
    <mergeCell ref="I2:J2"/>
    <mergeCell ref="A1:J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Artículo 2</vt:lpstr>
      <vt:lpstr>Artículo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Ogás</dc:creator>
  <cp:lastModifiedBy>Sebastián Ogás</cp:lastModifiedBy>
  <dcterms:created xsi:type="dcterms:W3CDTF">2024-06-20T11:50:48Z</dcterms:created>
  <dcterms:modified xsi:type="dcterms:W3CDTF">2024-06-20T13:24:01Z</dcterms:modified>
</cp:coreProperties>
</file>