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DeTrabalho" autoCompressPictures="0"/>
  <mc:AlternateContent xmlns:mc="http://schemas.openxmlformats.org/markup-compatibility/2006">
    <mc:Choice Requires="x15">
      <x15ac:absPath xmlns:x15ac="http://schemas.microsoft.com/office/spreadsheetml/2010/11/ac" url="C:\Users\Dell\Desktop\Descomplica\Módulo IV\"/>
    </mc:Choice>
  </mc:AlternateContent>
  <bookViews>
    <workbookView xWindow="0" yWindow="0" windowWidth="20490" windowHeight="8235" activeTab="1"/>
  </bookViews>
  <sheets>
    <sheet name="Matriz de Correlação" sheetId="2" r:id="rId1"/>
    <sheet name="Correlação com tabela" sheetId="4" r:id="rId2"/>
  </sheets>
  <externalReferences>
    <externalReference r:id="rId3"/>
    <externalReference r:id="rId4"/>
    <externalReference r:id="rId5"/>
  </externalReferences>
  <definedNames>
    <definedName name="aloc_1994">'[1]Otimização 1994'!$C$5:$C$8</definedName>
    <definedName name="aloc_1999">'[1]Otimização 1999'!$C$5:$C$9</definedName>
    <definedName name="Aloc_2006">'[1]Otimização 2006'!$C$5:$C$16</definedName>
    <definedName name="Aloc_2008">'[1]Otimização 2008'!$C$5:$C$21</definedName>
    <definedName name="Aportes">[2]Calc!$AF$27</definedName>
    <definedName name="Capital_Inicial">[2]Calc!$AD$26</definedName>
    <definedName name="Crescimento_Salário">[2]Calc!$AF$35</definedName>
    <definedName name="Data_Anual">[2]Calc!$X$5:OFFSET([2]Calc!$X$5,[2]Calc!$AC$6,0)</definedName>
    <definedName name="Data_Anual_2">'[2]Calc (2)'!$X$5:OFFSET('[2]Calc (2)'!$X$5,'[2]Calc (2)'!$AC$6,0)</definedName>
    <definedName name="Data_Anual_3">'[2]Calc (3)'!$X$5:OFFSET('[2]Calc (3)'!$X$5,'[2]Calc (3)'!$AC$6,0)</definedName>
    <definedName name="Data_Mensal">[2]Calc!$U$5:OFFSET([2]Calc!$U$5,[2]Calc!$AC$4,0)</definedName>
    <definedName name="Inflação">[2]Calc!$AF$30</definedName>
    <definedName name="Mês_Atual">[2]Calc!$AF$4</definedName>
    <definedName name="Patrimônio_Anual">[2]Calc!$V$5:OFFSET([2]Calc!$V$5,[2]Calc!$AC$6,0)</definedName>
    <definedName name="Patrimônio_Anual_2">'[2]Calc (2)'!$V$5:OFFSET('[2]Calc (2)'!$V$5,'[2]Calc (2)'!$AC$6,0)</definedName>
    <definedName name="Patrimônio_Anual_3">'[2]Calc (3)'!$V$5:OFFSET('[2]Calc (3)'!$V$5,'[2]Calc (3)'!$AC$6,0)</definedName>
    <definedName name="Período">[2]Calc!$AF$29</definedName>
    <definedName name="RentM">IFERROR((INDEX(#REF!,MATCH(#REF!,#REF!,0),MATCH('[2]Dados desde 2008'!A$1,#REF!,0))+INDEX(#REF!,MATCH(#REF!,#REF!,0),MATCH('[2]Dados desde 2008'!A$1,#REF!,0)))/INDEX(#REF!,MATCH(#REF!,#REF!,0)-1,MATCH('[2]Dados desde 2008'!A$1,#REF!,0))-1,"-")</definedName>
    <definedName name="Retorno_1994">'[1]Otimização 1994'!$D$9</definedName>
    <definedName name="Retorno_1999">'[1]Otimização 1999'!$D$10</definedName>
    <definedName name="Retorno_2006">'[1]Otimização 2006'!$H$17</definedName>
    <definedName name="Retorno_2008">'[1]Otimização 2008'!$H$22</definedName>
    <definedName name="Risco_1994">'[1]Otimização 1994'!$E$9</definedName>
    <definedName name="Risco_1999">'[1]Otimização 1999'!$E$10</definedName>
    <definedName name="Risco_2006">'[1]Otimização 2006'!$I$17</definedName>
    <definedName name="Risco_2008">'[1]Otimização 2008'!$I$22</definedName>
    <definedName name="Taxa">[2]Calc!$AF$28</definedName>
    <definedName name="Valor_Presente">[2]Calc!$R$5:OFFSET([2]Calc!$R$5,[2]Calc!$AC$4,0)</definedName>
    <definedName name="Valor_Total">[3]Calc!$Q$5:OFFSET([3]Calc!$Q$5,[3]Calc!$AC$4,0)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4" l="1"/>
  <c r="L24" i="4" s="1"/>
  <c r="Q11" i="4"/>
  <c r="P11" i="4"/>
  <c r="P10" i="4"/>
  <c r="O11" i="4"/>
  <c r="O10" i="4"/>
  <c r="O9" i="4"/>
  <c r="N11" i="4"/>
  <c r="N10" i="4"/>
  <c r="N9" i="4"/>
  <c r="N8" i="4"/>
  <c r="M11" i="4"/>
  <c r="M10" i="4"/>
  <c r="M9" i="4"/>
  <c r="M8" i="4"/>
  <c r="M7" i="4"/>
  <c r="L11" i="4"/>
  <c r="L10" i="4"/>
  <c r="L9" i="4"/>
  <c r="L8" i="4"/>
  <c r="L7" i="4"/>
  <c r="K11" i="4"/>
  <c r="K10" i="4"/>
  <c r="K9" i="4"/>
  <c r="K8" i="4"/>
  <c r="K7" i="4"/>
  <c r="K6" i="4"/>
  <c r="K5" i="4"/>
  <c r="R4" i="4"/>
  <c r="Q4" i="4"/>
  <c r="P4" i="4"/>
  <c r="O4" i="4"/>
  <c r="N4" i="4"/>
  <c r="M4" i="4"/>
  <c r="L4" i="4"/>
  <c r="M7" i="2"/>
  <c r="M11" i="2"/>
  <c r="N11" i="2"/>
  <c r="O11" i="2"/>
  <c r="P11" i="2"/>
  <c r="Q11" i="2"/>
  <c r="L11" i="2"/>
  <c r="M10" i="2"/>
  <c r="N10" i="2"/>
  <c r="O10" i="2"/>
  <c r="P10" i="2"/>
  <c r="L10" i="2"/>
  <c r="M9" i="2"/>
  <c r="L9" i="2"/>
  <c r="N9" i="2"/>
  <c r="O9" i="2"/>
  <c r="M8" i="2"/>
  <c r="N8" i="2"/>
  <c r="L8" i="2"/>
  <c r="L7" i="2"/>
  <c r="L18" i="2" s="1"/>
  <c r="L6" i="2"/>
  <c r="Q21" i="2" s="1"/>
  <c r="K11" i="2"/>
  <c r="K10" i="2"/>
  <c r="K9" i="2"/>
  <c r="K8" i="2"/>
  <c r="K7" i="2"/>
  <c r="K6" i="2"/>
  <c r="K5" i="2"/>
  <c r="M4" i="2"/>
  <c r="N4" i="2"/>
  <c r="O4" i="2"/>
  <c r="P4" i="2"/>
  <c r="Q4" i="2"/>
  <c r="R4" i="2"/>
  <c r="L4" i="2"/>
  <c r="L19" i="2"/>
  <c r="M19" i="2" s="1"/>
  <c r="S21" i="2" l="1"/>
  <c r="R21" i="2"/>
  <c r="M18" i="2"/>
  <c r="N18" i="2"/>
  <c r="N24" i="4"/>
  <c r="M24" i="4"/>
  <c r="L27" i="4"/>
  <c r="L21" i="2"/>
  <c r="L17" i="2"/>
  <c r="N19" i="2"/>
  <c r="Q26" i="4"/>
  <c r="Q20" i="2"/>
  <c r="Q17" i="2"/>
  <c r="L23" i="4"/>
  <c r="L26" i="4"/>
  <c r="L20" i="2"/>
  <c r="Q25" i="4"/>
  <c r="Q19" i="2"/>
  <c r="Q27" i="4"/>
  <c r="Q23" i="4"/>
  <c r="Q24" i="4"/>
  <c r="Q18" i="2"/>
  <c r="L25" i="4"/>
  <c r="N27" i="4" l="1"/>
  <c r="M27" i="4"/>
  <c r="S17" i="2"/>
  <c r="R17" i="2"/>
  <c r="S19" i="2"/>
  <c r="R19" i="2"/>
  <c r="N17" i="2"/>
  <c r="M17" i="2"/>
  <c r="N20" i="2"/>
  <c r="M20" i="2"/>
  <c r="M21" i="2"/>
  <c r="N21" i="2"/>
  <c r="N25" i="4"/>
  <c r="M25" i="4"/>
  <c r="S18" i="2"/>
  <c r="R18" i="2"/>
  <c r="M23" i="4"/>
  <c r="N23" i="4"/>
  <c r="N26" i="4"/>
  <c r="M26" i="4"/>
  <c r="S20" i="2"/>
  <c r="R20" i="2"/>
  <c r="S27" i="4"/>
  <c r="R27" i="4"/>
  <c r="R26" i="4"/>
  <c r="S26" i="4"/>
  <c r="R23" i="4"/>
  <c r="S23" i="4"/>
  <c r="R24" i="4"/>
  <c r="S24" i="4"/>
  <c r="R25" i="4"/>
  <c r="S25" i="4"/>
</calcChain>
</file>

<file path=xl/sharedStrings.xml><?xml version="1.0" encoding="utf-8"?>
<sst xmlns="http://schemas.openxmlformats.org/spreadsheetml/2006/main" count="66" uniqueCount="26">
  <si>
    <t>Mês</t>
  </si>
  <si>
    <t>Ibovespa</t>
  </si>
  <si>
    <t>Fórmula</t>
  </si>
  <si>
    <t>IPCA</t>
  </si>
  <si>
    <t>CDI</t>
  </si>
  <si>
    <t>DÓLAR</t>
  </si>
  <si>
    <t>OURO</t>
  </si>
  <si>
    <t>SMLL</t>
  </si>
  <si>
    <t>EURO</t>
  </si>
  <si>
    <t>Como Calcular a Correlação entre Investimentos?</t>
  </si>
  <si>
    <t>Matriz</t>
  </si>
  <si>
    <t>5 maiores correlações</t>
  </si>
  <si>
    <t>5 menores correlações</t>
  </si>
  <si>
    <t>-</t>
  </si>
  <si>
    <t>Matriz de Correlação Histórica</t>
  </si>
  <si>
    <t>Análise das maiores e menores Correlações Históricas</t>
  </si>
  <si>
    <t>Coluna</t>
  </si>
  <si>
    <t>Linha</t>
  </si>
  <si>
    <t>Matriz de Correlação Histórica (com tabela)</t>
  </si>
  <si>
    <t xml:space="preserve"> =CORREL(Dados_Correlação[CDI];Dados_Correlação[IPCA])</t>
  </si>
  <si>
    <t>Vantagem</t>
  </si>
  <si>
    <t>Correl</t>
  </si>
  <si>
    <t>#</t>
  </si>
  <si>
    <t>Permite visualizar rapidamente quais ativos foram escolhidos para o cálculo da correlação, evitando erros nas fórmulas, principalmente quando a matriz tiver mais de 20 ativos.</t>
  </si>
  <si>
    <t>Maior</t>
  </si>
  <si>
    <t>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</si>
</sst>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[$€]* #,##0.00_);_([$€]* \(#,##0.00\);_([$€]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1"/>
      <color indexed="63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sz val="11"/>
      <color indexed="62"/>
      <name val="Calibri"/>
      <family val="2"/>
    </font>
    <font>
      <u/>
      <sz val="10"/>
      <color indexed="63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62"/>
      <name val="Cambria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theme="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39997558519241921"/>
        <bgColor indexed="64"/>
      </patternFill>
    </fill>
  </fills>
  <borders count="22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14999847407452621"/>
      </right>
      <top/>
      <bottom style="thin">
        <color theme="0" tint="-0.249977111117893"/>
      </bottom>
      <diagonal/>
    </border>
    <border>
      <left/>
      <right style="thin">
        <color theme="0" tint="-0.1499984740745262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52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6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6" fillId="12" borderId="0" applyNumberFormat="0" applyBorder="0" applyAlignment="0" applyProtection="0"/>
    <xf numFmtId="0" fontId="17" fillId="24" borderId="14" applyNumberFormat="0" applyAlignment="0" applyProtection="0"/>
    <xf numFmtId="0" fontId="18" fillId="25" borderId="15" applyNumberFormat="0" applyAlignment="0" applyProtection="0"/>
    <xf numFmtId="0" fontId="19" fillId="0" borderId="16" applyNumberFormat="0" applyFill="0" applyAlignment="0" applyProtection="0"/>
    <xf numFmtId="164" fontId="20" fillId="0" borderId="0" applyFont="0" applyFill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9" borderId="0" applyNumberFormat="0" applyBorder="0" applyAlignment="0" applyProtection="0"/>
    <xf numFmtId="0" fontId="21" fillId="15" borderId="14" applyNumberFormat="0" applyAlignment="0" applyProtection="0"/>
    <xf numFmtId="165" fontId="20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11" borderId="0" applyNumberFormat="0" applyBorder="0" applyAlignment="0" applyProtection="0"/>
    <xf numFmtId="0" fontId="24" fillId="30" borderId="0" applyNumberFormat="0" applyBorder="0" applyAlignment="0" applyProtection="0"/>
    <xf numFmtId="0" fontId="20" fillId="0" borderId="0"/>
    <xf numFmtId="0" fontId="14" fillId="31" borderId="17" applyNumberFormat="0" applyFont="0" applyAlignment="0" applyProtection="0"/>
    <xf numFmtId="0" fontId="14" fillId="9" borderId="13" applyNumberFormat="0" applyFont="0" applyAlignment="0" applyProtection="0"/>
    <xf numFmtId="9" fontId="20" fillId="0" borderId="0" applyFont="0" applyFill="0" applyBorder="0" applyAlignment="0" applyProtection="0"/>
    <xf numFmtId="0" fontId="13" fillId="24" borderId="1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9" applyNumberFormat="0" applyFill="0" applyAlignment="0" applyProtection="0"/>
    <xf numFmtId="0" fontId="29" fillId="0" borderId="20" applyNumberFormat="0" applyFill="0" applyAlignment="0" applyProtection="0"/>
    <xf numFmtId="0" fontId="30" fillId="0" borderId="21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" fillId="0" borderId="0"/>
    <xf numFmtId="0" fontId="32" fillId="0" borderId="0"/>
  </cellStyleXfs>
  <cellXfs count="38">
    <xf numFmtId="0" fontId="0" fillId="0" borderId="0" xfId="0"/>
    <xf numFmtId="0" fontId="3" fillId="0" borderId="0" xfId="0" applyFont="1"/>
    <xf numFmtId="0" fontId="4" fillId="2" borderId="2" xfId="0" applyFont="1" applyFill="1" applyBorder="1" applyAlignment="1">
      <alignment horizontal="center"/>
    </xf>
    <xf numFmtId="10" fontId="5" fillId="3" borderId="0" xfId="1" applyNumberFormat="1" applyFont="1" applyFill="1" applyBorder="1" applyAlignment="1">
      <alignment horizontal="center"/>
    </xf>
    <xf numFmtId="10" fontId="5" fillId="4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6" borderId="2" xfId="0" applyFont="1" applyFill="1" applyBorder="1" applyAlignment="1">
      <alignment horizontal="center"/>
    </xf>
    <xf numFmtId="10" fontId="5" fillId="0" borderId="0" xfId="1" applyNumberFormat="1" applyFont="1" applyAlignment="1">
      <alignment horizontal="center"/>
    </xf>
    <xf numFmtId="10" fontId="5" fillId="5" borderId="0" xfId="1" applyNumberFormat="1" applyFont="1" applyFill="1" applyAlignment="1">
      <alignment horizontal="center"/>
    </xf>
    <xf numFmtId="10" fontId="5" fillId="5" borderId="5" xfId="1" applyNumberFormat="1" applyFont="1" applyFill="1" applyBorder="1" applyAlignment="1">
      <alignment horizontal="center"/>
    </xf>
    <xf numFmtId="10" fontId="5" fillId="4" borderId="5" xfId="1" applyNumberFormat="1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17" fontId="5" fillId="0" borderId="1" xfId="0" applyNumberFormat="1" applyFont="1" applyBorder="1" applyAlignment="1">
      <alignment horizontal="center"/>
    </xf>
    <xf numFmtId="17" fontId="5" fillId="5" borderId="1" xfId="0" applyNumberFormat="1" applyFont="1" applyFill="1" applyBorder="1" applyAlignment="1">
      <alignment horizontal="center"/>
    </xf>
    <xf numFmtId="17" fontId="5" fillId="5" borderId="6" xfId="0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8" fillId="0" borderId="0" xfId="0" applyFont="1"/>
    <xf numFmtId="0" fontId="6" fillId="6" borderId="8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10" fontId="7" fillId="0" borderId="0" xfId="1" applyNumberFormat="1" applyFont="1" applyBorder="1" applyAlignment="1">
      <alignment horizontal="center"/>
    </xf>
    <xf numFmtId="10" fontId="7" fillId="0" borderId="9" xfId="1" applyNumberFormat="1" applyFont="1" applyBorder="1" applyAlignment="1">
      <alignment horizontal="center"/>
    </xf>
    <xf numFmtId="10" fontId="7" fillId="0" borderId="2" xfId="1" applyNumberFormat="1" applyFont="1" applyBorder="1" applyAlignment="1">
      <alignment horizontal="center"/>
    </xf>
    <xf numFmtId="10" fontId="7" fillId="0" borderId="10" xfId="1" applyNumberFormat="1" applyFont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9" fillId="0" borderId="0" xfId="0" applyFont="1"/>
    <xf numFmtId="0" fontId="0" fillId="5" borderId="0" xfId="0" applyFill="1" applyAlignment="1">
      <alignment horizontal="center"/>
    </xf>
    <xf numFmtId="0" fontId="0" fillId="5" borderId="5" xfId="0" applyFill="1" applyBorder="1" applyAlignment="1">
      <alignment horizontal="center"/>
    </xf>
    <xf numFmtId="0" fontId="10" fillId="0" borderId="0" xfId="0" applyFont="1"/>
    <xf numFmtId="0" fontId="2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10" fontId="12" fillId="0" borderId="0" xfId="1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33" fillId="32" borderId="0" xfId="0" applyFont="1" applyFill="1"/>
    <xf numFmtId="0" fontId="34" fillId="32" borderId="0" xfId="0" applyFont="1" applyFill="1"/>
    <xf numFmtId="0" fontId="3" fillId="0" borderId="0" xfId="0" applyFont="1" applyAlignment="1">
      <alignment horizontal="left" wrapText="1"/>
    </xf>
  </cellXfs>
  <cellStyles count="52">
    <cellStyle name="20% - Ênfase1" xfId="3"/>
    <cellStyle name="20% - Ênfase2" xfId="4"/>
    <cellStyle name="20% - Ênfase3" xfId="5"/>
    <cellStyle name="20% - Ênfase4" xfId="6"/>
    <cellStyle name="20% - Ênfase5" xfId="7"/>
    <cellStyle name="20% - Ênfase6" xfId="8"/>
    <cellStyle name="40% - Ênfase1" xfId="9"/>
    <cellStyle name="40% - Ênfase2" xfId="10"/>
    <cellStyle name="40% - Ênfase3" xfId="11"/>
    <cellStyle name="40% - Ênfase4" xfId="12"/>
    <cellStyle name="40% - Ênfase5" xfId="13"/>
    <cellStyle name="40% - Ênfase6" xfId="14"/>
    <cellStyle name="60% - Ênfase1" xfId="15"/>
    <cellStyle name="60% - Ênfase2" xfId="16"/>
    <cellStyle name="60% - Ênfase3" xfId="17"/>
    <cellStyle name="60% - Ênfase4" xfId="18"/>
    <cellStyle name="60% - Ênfase5" xfId="19"/>
    <cellStyle name="60% - Ênfase6" xfId="20"/>
    <cellStyle name="Bom" xfId="21"/>
    <cellStyle name="Cálculo" xfId="22"/>
    <cellStyle name="Célula de Verificação" xfId="23"/>
    <cellStyle name="Célula Vinculada" xfId="24"/>
    <cellStyle name="Comma 2" xfId="25"/>
    <cellStyle name="Ênfase1" xfId="26"/>
    <cellStyle name="Ênfase2" xfId="27"/>
    <cellStyle name="Ênfase3" xfId="28"/>
    <cellStyle name="Ênfase4" xfId="29"/>
    <cellStyle name="Ênfase5" xfId="30"/>
    <cellStyle name="Ênfase6" xfId="31"/>
    <cellStyle name="Entrada" xfId="32"/>
    <cellStyle name="Euro" xfId="33"/>
    <cellStyle name="Hyperlink 2" xfId="34"/>
    <cellStyle name="Incorreto" xfId="35"/>
    <cellStyle name="Neutra" xfId="36"/>
    <cellStyle name="Normal" xfId="0" builtinId="0"/>
    <cellStyle name="Normal 2" xfId="2"/>
    <cellStyle name="Normal 2 2" xfId="50"/>
    <cellStyle name="Normal 3" xfId="37"/>
    <cellStyle name="Normal 4" xfId="51"/>
    <cellStyle name="Nota" xfId="38"/>
    <cellStyle name="Nota 2" xfId="39"/>
    <cellStyle name="Percent 2" xfId="40"/>
    <cellStyle name="Porcentagem" xfId="1" builtinId="5"/>
    <cellStyle name="Saída" xfId="41"/>
    <cellStyle name="Texto de Aviso" xfId="42"/>
    <cellStyle name="Texto Explicativo" xfId="43"/>
    <cellStyle name="Título" xfId="44"/>
    <cellStyle name="Título 1" xfId="45"/>
    <cellStyle name="Título 2" xfId="46"/>
    <cellStyle name="Título 3" xfId="47"/>
    <cellStyle name="Título 4" xfId="48"/>
    <cellStyle name="Título_Simulador de Patrimonio" xfId="49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mmm\-yy"/>
      <alignment horizontal="center" vertical="bottom" textRotation="0" wrapText="0" relativeIndent="0" justifyLastLine="0" shrinkToFit="0" readingOrder="0"/>
      <border diagonalUp="0" diagonalDown="0">
        <left/>
        <right style="thin">
          <color theme="0" tint="-0.1499984740745262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relative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relativeIndent="0" justifyLastLine="0" shrinkToFit="0" readingOrder="0"/>
    </dxf>
    <dxf>
      <font>
        <condense val="0"/>
        <extend val="0"/>
        <color rgb="FF9C0006"/>
      </font>
    </dxf>
    <dxf>
      <font>
        <color theme="0" tint="-0.24994659260841701"/>
      </font>
    </dxf>
    <dxf>
      <font>
        <condense val="0"/>
        <extend val="0"/>
        <color rgb="FF9C0006"/>
      </font>
    </dxf>
    <dxf>
      <font>
        <color theme="0" tint="-0.2499465926084170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WEBDESIGN\ExcelBundle\ePlanilhas\EPLANILHAS%203.0%20-%20Copia\Gest&#227;o%20&amp;%20Neg&#243;cios\Financeiras\Investimentos\Planilha%20Financeira%20-%20Otimiza&#231;&#227;o%20de%20Carteira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WEBDESIGN\ExcelBundle\ePlanilhas\EPLANILHAS%203.0%20-%20Copia\Gest&#227;o%20&amp;%20Neg&#243;cios\Financeiras\Investimentos\HC%20Investimentos%20-%20Planejamento%20Financeiro%20(Premium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WEBDESIGN\ExcelBundle\ePlanilhas\EPLANILHAS%203.0%20-%20Copia\Gest&#227;o%20&amp;%20Neg&#243;cios\Financeiras\Investimentos\HC%20Investimentos%20-%20Planejamento%20Financei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Otimização 1994"/>
      <sheetName val="Otimização 1999"/>
      <sheetName val="Otimização 2006"/>
      <sheetName val="Otimização 2008"/>
    </sheetNames>
    <sheetDataSet>
      <sheetData sheetId="0"/>
      <sheetData sheetId="1">
        <row r="5">
          <cell r="C5">
            <v>0.3918094406516377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0.6081905593483623</v>
          </cell>
        </row>
        <row r="9">
          <cell r="D9">
            <v>0.21280832294446705</v>
          </cell>
          <cell r="E9">
            <v>0.13166348565523742</v>
          </cell>
        </row>
      </sheetData>
      <sheetData sheetId="2">
        <row r="5">
          <cell r="C5">
            <v>0.14732906267297327</v>
          </cell>
        </row>
        <row r="6">
          <cell r="C6">
            <v>0</v>
          </cell>
        </row>
        <row r="7">
          <cell r="C7">
            <v>0.12217513667812613</v>
          </cell>
        </row>
        <row r="8">
          <cell r="C8">
            <v>0</v>
          </cell>
        </row>
        <row r="9">
          <cell r="C9">
            <v>0.73049579740800241</v>
          </cell>
        </row>
        <row r="10">
          <cell r="D10">
            <v>0.17674161643369191</v>
          </cell>
          <cell r="E10">
            <v>5.576445543118503E-2</v>
          </cell>
        </row>
      </sheetData>
      <sheetData sheetId="3"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0.69005902927027751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0.1217260851024129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0.18821488562730967</v>
          </cell>
        </row>
        <row r="17">
          <cell r="H17">
            <v>0.18430059768249629</v>
          </cell>
          <cell r="I17">
            <v>7.3720247476446704E-2</v>
          </cell>
        </row>
      </sheetData>
      <sheetData sheetId="4">
        <row r="5">
          <cell r="C5">
            <v>0</v>
          </cell>
        </row>
        <row r="6">
          <cell r="C6">
            <v>0.48168194760693611</v>
          </cell>
        </row>
        <row r="7">
          <cell r="C7">
            <v>0.11879057512922578</v>
          </cell>
        </row>
        <row r="8">
          <cell r="C8">
            <v>2.8274227763776739E-2</v>
          </cell>
        </row>
        <row r="9">
          <cell r="C9">
            <v>0.25624066708670384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5.1022697645136629E-3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2.964832782139697E-2</v>
          </cell>
        </row>
        <row r="18">
          <cell r="C18">
            <v>8.0261984827446606E-2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H22">
            <v>0.1482734636812002</v>
          </cell>
          <cell r="I22">
            <v>1.6366746618673957E-2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Históricos"/>
      <sheetName val="Dados desde 2008"/>
      <sheetName val="HOME"/>
      <sheetName val="Alocação"/>
      <sheetName val="Dados de Entrada"/>
      <sheetName val="Calc"/>
      <sheetName val="Resultados"/>
      <sheetName val="Calc (2)"/>
      <sheetName val="Nova Simulação"/>
      <sheetName val="Calc (3)"/>
      <sheetName val="Auxiliar"/>
    </sheetNames>
    <sheetDataSet>
      <sheetData sheetId="0"/>
      <sheetData sheetId="1"/>
      <sheetData sheetId="2"/>
      <sheetData sheetId="3"/>
      <sheetData sheetId="4"/>
      <sheetData sheetId="5">
        <row r="4">
          <cell r="AC4">
            <v>239</v>
          </cell>
          <cell r="AF4">
            <v>40756</v>
          </cell>
        </row>
        <row r="5">
          <cell r="R5">
            <v>36147.055875566453</v>
          </cell>
          <cell r="U5">
            <v>40787</v>
          </cell>
          <cell r="V5">
            <v>49402.81255645377</v>
          </cell>
          <cell r="X5">
            <v>41122</v>
          </cell>
        </row>
        <row r="6">
          <cell r="AC6">
            <v>19</v>
          </cell>
        </row>
        <row r="26">
          <cell r="AD26">
            <v>35000</v>
          </cell>
        </row>
        <row r="27">
          <cell r="AF27">
            <v>1000</v>
          </cell>
        </row>
        <row r="28">
          <cell r="AF28">
            <v>7.7750146138183315E-3</v>
          </cell>
        </row>
        <row r="29">
          <cell r="AF29">
            <v>20</v>
          </cell>
        </row>
        <row r="30">
          <cell r="AF30">
            <v>3.6748094004368514E-3</v>
          </cell>
        </row>
        <row r="35">
          <cell r="AF35">
            <v>4.0741237836483535E-3</v>
          </cell>
        </row>
      </sheetData>
      <sheetData sheetId="6"/>
      <sheetData sheetId="7">
        <row r="5">
          <cell r="V5">
            <v>52191.609492815631</v>
          </cell>
          <cell r="X5">
            <v>41122</v>
          </cell>
        </row>
        <row r="6">
          <cell r="AC6">
            <v>19</v>
          </cell>
        </row>
      </sheetData>
      <sheetData sheetId="8"/>
      <sheetData sheetId="9">
        <row r="5">
          <cell r="V5">
            <v>49672.114180118813</v>
          </cell>
          <cell r="X5">
            <v>41122</v>
          </cell>
        </row>
        <row r="6">
          <cell r="AC6">
            <v>19</v>
          </cell>
        </row>
      </sheetData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Dados de Entrada"/>
      <sheetName val="Calc"/>
      <sheetName val="Auxiliar"/>
      <sheetName val="Resultados"/>
      <sheetName val="Calc (2)"/>
      <sheetName val="Nova Simulação"/>
      <sheetName val="Calc (3)"/>
    </sheetNames>
    <sheetDataSet>
      <sheetData sheetId="0"/>
      <sheetData sheetId="1"/>
      <sheetData sheetId="2">
        <row r="4">
          <cell r="AC4">
            <v>239</v>
          </cell>
        </row>
        <row r="5">
          <cell r="Q5">
            <v>36352.592902149285</v>
          </cell>
        </row>
      </sheetData>
      <sheetData sheetId="3"/>
      <sheetData sheetId="4"/>
      <sheetData sheetId="5">
        <row r="5">
          <cell r="V5">
            <v>52191.609492815631</v>
          </cell>
        </row>
      </sheetData>
      <sheetData sheetId="6"/>
      <sheetData sheetId="7">
        <row r="5">
          <cell r="V5">
            <v>50546.629891801866</v>
          </cell>
        </row>
      </sheetData>
    </sheetDataSet>
  </externalBook>
</externalLink>
</file>

<file path=xl/tables/table1.xml><?xml version="1.0" encoding="utf-8"?>
<table xmlns="http://schemas.openxmlformats.org/spreadsheetml/2006/main" id="1" name="Dados_Correlação" displayName="Dados_Correlação" ref="B4:I47" totalsRowShown="0" headerRowDxfId="10" dataDxfId="8" headerRowBorderDxfId="9">
  <autoFilter ref="B4:I47"/>
  <tableColumns count="8">
    <tableColumn id="1" name="Mês" dataDxfId="7"/>
    <tableColumn id="2" name="IPCA" dataDxfId="6"/>
    <tableColumn id="3" name="CDI" dataDxfId="5"/>
    <tableColumn id="4" name="DÓLAR" dataDxfId="4"/>
    <tableColumn id="5" name="EURO" dataDxfId="3"/>
    <tableColumn id="6" name="OURO" dataDxfId="2"/>
    <tableColumn id="7" name="Ibovespa" dataDxfId="1"/>
    <tableColumn id="8" name="SML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B2:U52"/>
  <sheetViews>
    <sheetView showGridLines="0" workbookViewId="0">
      <selection activeCell="D40" sqref="D40"/>
    </sheetView>
  </sheetViews>
  <sheetFormatPr defaultColWidth="8.85546875" defaultRowHeight="15" x14ac:dyDescent="0.25"/>
  <cols>
    <col min="1" max="1" width="4.7109375" customWidth="1"/>
    <col min="10" max="10" width="6.7109375" customWidth="1"/>
  </cols>
  <sheetData>
    <row r="2" spans="2:21" ht="18.75" x14ac:dyDescent="0.3">
      <c r="B2" s="35" t="s">
        <v>9</v>
      </c>
      <c r="C2" s="36"/>
      <c r="D2" s="36"/>
      <c r="E2" s="36"/>
      <c r="F2" s="36"/>
      <c r="G2" s="36"/>
      <c r="H2" s="36"/>
      <c r="I2" s="36"/>
      <c r="K2" s="31" t="s">
        <v>14</v>
      </c>
    </row>
    <row r="3" spans="2:21" ht="15.75" thickBot="1" x14ac:dyDescent="0.3"/>
    <row r="4" spans="2:21" ht="15.75" thickBot="1" x14ac:dyDescent="0.3">
      <c r="B4" s="11" t="s">
        <v>0</v>
      </c>
      <c r="C4" s="6" t="s">
        <v>3</v>
      </c>
      <c r="D4" s="6" t="s">
        <v>4</v>
      </c>
      <c r="E4" s="6" t="s">
        <v>5</v>
      </c>
      <c r="F4" s="6" t="s">
        <v>8</v>
      </c>
      <c r="G4" s="6" t="s">
        <v>6</v>
      </c>
      <c r="H4" s="2" t="s">
        <v>1</v>
      </c>
      <c r="I4" s="6" t="s">
        <v>7</v>
      </c>
      <c r="K4" s="25" t="s">
        <v>10</v>
      </c>
      <c r="L4" s="17" t="str">
        <f>C4</f>
        <v>IPCA</v>
      </c>
      <c r="M4" s="17" t="str">
        <f t="shared" ref="M4:R4" si="0">D4</f>
        <v>CDI</v>
      </c>
      <c r="N4" s="17" t="str">
        <f t="shared" si="0"/>
        <v>DÓLAR</v>
      </c>
      <c r="O4" s="17" t="str">
        <f t="shared" si="0"/>
        <v>EURO</v>
      </c>
      <c r="P4" s="17" t="str">
        <f t="shared" si="0"/>
        <v>OURO</v>
      </c>
      <c r="Q4" s="17" t="str">
        <f t="shared" si="0"/>
        <v>Ibovespa</v>
      </c>
      <c r="R4" s="18" t="str">
        <f t="shared" si="0"/>
        <v>SMLL</v>
      </c>
      <c r="T4" s="5"/>
      <c r="U4" s="15"/>
    </row>
    <row r="5" spans="2:21" x14ac:dyDescent="0.25">
      <c r="B5" s="12">
        <v>39083</v>
      </c>
      <c r="C5" s="7">
        <v>4.4000000000000003E-3</v>
      </c>
      <c r="D5" s="7">
        <v>1.0800000000000001E-2</v>
      </c>
      <c r="E5" s="7">
        <v>-3.7523452157598447E-3</v>
      </c>
      <c r="F5" s="7">
        <v>-1.9679455357776043E-2</v>
      </c>
      <c r="G5" s="7">
        <v>4.4186046511627941E-2</v>
      </c>
      <c r="H5" s="3">
        <v>-5.7000000000000002E-3</v>
      </c>
      <c r="I5" s="7">
        <v>-2.6687903928129399E-2</v>
      </c>
      <c r="K5" s="23" t="str">
        <f>C4</f>
        <v>IPCA</v>
      </c>
      <c r="L5" s="19" t="s">
        <v>13</v>
      </c>
      <c r="M5" s="19"/>
      <c r="N5" s="19"/>
      <c r="O5" s="19"/>
      <c r="P5" s="19"/>
      <c r="Q5" s="19"/>
      <c r="R5" s="20"/>
      <c r="T5" s="5"/>
      <c r="U5" s="15"/>
    </row>
    <row r="6" spans="2:21" x14ac:dyDescent="0.25">
      <c r="B6" s="13">
        <v>39114</v>
      </c>
      <c r="C6" s="8">
        <v>4.4000000000000003E-3</v>
      </c>
      <c r="D6" s="8">
        <v>8.6999999999999994E-3</v>
      </c>
      <c r="E6" s="8">
        <v>9.5192765349834119E-3</v>
      </c>
      <c r="F6" s="8">
        <v>1.399790212319596E-2</v>
      </c>
      <c r="G6" s="8">
        <v>2.2222222222222143E-2</v>
      </c>
      <c r="H6" s="4">
        <v>-1.44E-2</v>
      </c>
      <c r="I6" s="8">
        <v>6.2868646911313801E-3</v>
      </c>
      <c r="K6" s="23" t="str">
        <f>D4</f>
        <v>CDI</v>
      </c>
      <c r="L6" s="19">
        <f>CORREL($D$5:$D$52,C$5:C$52)</f>
        <v>-0.13532584868144706</v>
      </c>
      <c r="M6" s="19" t="s">
        <v>13</v>
      </c>
      <c r="N6" s="19"/>
      <c r="O6" s="19"/>
      <c r="P6" s="19"/>
      <c r="Q6" s="19"/>
      <c r="R6" s="20"/>
    </row>
    <row r="7" spans="2:21" x14ac:dyDescent="0.25">
      <c r="B7" s="12">
        <v>39142</v>
      </c>
      <c r="C7" s="7">
        <v>3.7000000000000002E-3</v>
      </c>
      <c r="D7" s="7">
        <v>1.0500000000000001E-2</v>
      </c>
      <c r="E7" s="7">
        <v>-2.7384324834749729E-2</v>
      </c>
      <c r="F7" s="7">
        <v>-2.3007776271670055E-2</v>
      </c>
      <c r="G7" s="7">
        <v>-1.7543859649122862E-2</v>
      </c>
      <c r="H7" s="3">
        <v>4.4400000000000002E-2</v>
      </c>
      <c r="I7" s="7">
        <v>3.6842043686310402E-2</v>
      </c>
      <c r="K7" s="23" t="str">
        <f>E4</f>
        <v>DÓLAR</v>
      </c>
      <c r="L7" s="19">
        <f>CORREL($E$5:$E$52,C$5:C$52)</f>
        <v>5.268658900948011E-2</v>
      </c>
      <c r="M7" s="19">
        <f t="shared" ref="M7" si="1">CORREL($E$5:$E$52,D$5:D$52)</f>
        <v>0.30325252063633845</v>
      </c>
      <c r="N7" s="19" t="s">
        <v>13</v>
      </c>
      <c r="O7" s="19"/>
      <c r="P7" s="19"/>
      <c r="Q7" s="19"/>
      <c r="R7" s="20"/>
    </row>
    <row r="8" spans="2:21" x14ac:dyDescent="0.25">
      <c r="B8" s="13">
        <v>39173</v>
      </c>
      <c r="C8" s="8">
        <v>2.5000000000000001E-3</v>
      </c>
      <c r="D8" s="8">
        <v>9.3999999999999986E-3</v>
      </c>
      <c r="E8" s="8">
        <v>-5.371093750000111E-3</v>
      </c>
      <c r="F8" s="8">
        <v>1.3728139033918563E-2</v>
      </c>
      <c r="G8" s="8">
        <v>2.3076923076922995E-2</v>
      </c>
      <c r="H8" s="4">
        <v>8.1600000000000006E-2</v>
      </c>
      <c r="I8" s="8">
        <v>7.4033535690911895E-2</v>
      </c>
      <c r="K8" s="23" t="str">
        <f>F4</f>
        <v>EURO</v>
      </c>
      <c r="L8" s="19">
        <f>CORREL($F$5:$F$52,C$5:C$52)</f>
        <v>-0.19603488392127325</v>
      </c>
      <c r="M8" s="19">
        <f t="shared" ref="M8:N8" si="2">CORREL($F$5:$F$52,D$5:D$52)</f>
        <v>0.25273551941604938</v>
      </c>
      <c r="N8" s="19">
        <f t="shared" si="2"/>
        <v>0.63407257588210075</v>
      </c>
      <c r="O8" s="19" t="s">
        <v>13</v>
      </c>
      <c r="P8" s="19"/>
      <c r="Q8" s="19"/>
      <c r="R8" s="20"/>
    </row>
    <row r="9" spans="2:21" x14ac:dyDescent="0.25">
      <c r="B9" s="12">
        <v>39203</v>
      </c>
      <c r="C9" s="7">
        <v>2.8000000000000004E-3</v>
      </c>
      <c r="D9" s="7">
        <v>1.0200000000000001E-2</v>
      </c>
      <c r="E9" s="7">
        <v>-4.8913043478260865E-2</v>
      </c>
      <c r="F9" s="7">
        <v>-6.5117954258959165E-2</v>
      </c>
      <c r="G9" s="7">
        <v>-4.3478260869565188E-2</v>
      </c>
      <c r="H9" s="3">
        <v>6.6699999999999995E-2</v>
      </c>
      <c r="I9" s="7">
        <v>9.5363667881869493E-2</v>
      </c>
      <c r="K9" s="23" t="str">
        <f>G4</f>
        <v>OURO</v>
      </c>
      <c r="L9" s="19">
        <f>CORREL($G$5:$G$52,C$5:C$52)</f>
        <v>1.7179846663523363E-2</v>
      </c>
      <c r="M9" s="19">
        <f>CORREL($G$5:$G$52,D$5:D$52)</f>
        <v>1.1948423007769094E-2</v>
      </c>
      <c r="N9" s="19">
        <f t="shared" ref="N9:O9" si="3">CORREL($G$5:$G$52,E$5:E$52)</f>
        <v>0.33228539665549234</v>
      </c>
      <c r="O9" s="19">
        <f t="shared" si="3"/>
        <v>0.48664529168156051</v>
      </c>
      <c r="P9" s="19" t="s">
        <v>13</v>
      </c>
      <c r="Q9" s="19"/>
      <c r="R9" s="20"/>
    </row>
    <row r="10" spans="2:21" x14ac:dyDescent="0.25">
      <c r="B10" s="13">
        <v>39234</v>
      </c>
      <c r="C10" s="8">
        <v>2.8000000000000004E-3</v>
      </c>
      <c r="D10" s="8">
        <v>9.0000000000000011E-3</v>
      </c>
      <c r="E10" s="8">
        <v>1.2067156348373631E-2</v>
      </c>
      <c r="F10" s="8">
        <v>4.4689293832107513E-3</v>
      </c>
      <c r="G10" s="8">
        <v>-2.9680365296803624E-2</v>
      </c>
      <c r="H10" s="4">
        <v>3.56E-2</v>
      </c>
      <c r="I10" s="8">
        <v>2.7642432380587102E-2</v>
      </c>
      <c r="K10" s="23" t="str">
        <f>H4</f>
        <v>Ibovespa</v>
      </c>
      <c r="L10" s="19">
        <f>CORREL($H$5:$H$52,C$5:C$52)</f>
        <v>-0.20024388319437297</v>
      </c>
      <c r="M10" s="19">
        <f t="shared" ref="M10:P10" si="4">CORREL($H$5:$H$52,D$5:D$52)</f>
        <v>-0.31127627822879228</v>
      </c>
      <c r="N10" s="19">
        <f t="shared" si="4"/>
        <v>-0.71953577309243855</v>
      </c>
      <c r="O10" s="19">
        <f t="shared" si="4"/>
        <v>-0.32380855650967588</v>
      </c>
      <c r="P10" s="19">
        <f t="shared" si="4"/>
        <v>-3.2026606205153643E-2</v>
      </c>
      <c r="Q10" s="19" t="s">
        <v>13</v>
      </c>
      <c r="R10" s="20"/>
    </row>
    <row r="11" spans="2:21" ht="15.75" thickBot="1" x14ac:dyDescent="0.3">
      <c r="B11" s="12">
        <v>39264</v>
      </c>
      <c r="C11" s="7">
        <v>2.3999999999999998E-3</v>
      </c>
      <c r="D11" s="7">
        <v>9.7000000000000003E-3</v>
      </c>
      <c r="E11" s="7">
        <v>-1.7736045905059949E-2</v>
      </c>
      <c r="F11" s="7">
        <v>-1.4497756299620246E-2</v>
      </c>
      <c r="G11" s="7">
        <v>-2.3584905660377409E-2</v>
      </c>
      <c r="H11" s="3">
        <v>1.15E-2</v>
      </c>
      <c r="I11" s="7">
        <v>5.9733811203821503E-3</v>
      </c>
      <c r="K11" s="24" t="str">
        <f>I4</f>
        <v>SMLL</v>
      </c>
      <c r="L11" s="21">
        <f>CORREL($I$5:$I$52,C$5:C$52)</f>
        <v>-0.15316385095289314</v>
      </c>
      <c r="M11" s="21">
        <f t="shared" ref="M11:Q11" si="5">CORREL($I$5:$I$52,D$5:D$52)</f>
        <v>-0.39673130752303565</v>
      </c>
      <c r="N11" s="21">
        <f t="shared" si="5"/>
        <v>-0.72042516692908043</v>
      </c>
      <c r="O11" s="21">
        <f t="shared" si="5"/>
        <v>-0.42922672751103341</v>
      </c>
      <c r="P11" s="21">
        <f t="shared" si="5"/>
        <v>-0.21367430421020772</v>
      </c>
      <c r="Q11" s="21">
        <f t="shared" si="5"/>
        <v>0.88466061080679737</v>
      </c>
      <c r="R11" s="22" t="s">
        <v>13</v>
      </c>
    </row>
    <row r="12" spans="2:21" x14ac:dyDescent="0.25">
      <c r="B12" s="13">
        <v>39295</v>
      </c>
      <c r="C12" s="8">
        <v>4.6999999999999993E-3</v>
      </c>
      <c r="D12" s="8">
        <v>9.8999999999999991E-3</v>
      </c>
      <c r="E12" s="8">
        <v>3.8054968287526414E-2</v>
      </c>
      <c r="F12" s="8">
        <v>4.1136407861451563E-2</v>
      </c>
      <c r="G12" s="8">
        <v>4.4334975369457963E-2</v>
      </c>
      <c r="H12" s="4">
        <v>-1.24E-2</v>
      </c>
      <c r="I12" s="8">
        <v>-2.88823736802062E-2</v>
      </c>
    </row>
    <row r="13" spans="2:21" ht="15.75" x14ac:dyDescent="0.25">
      <c r="B13" s="12">
        <v>39326</v>
      </c>
      <c r="C13" s="7">
        <v>1.8E-3</v>
      </c>
      <c r="D13" s="7">
        <v>8.0000000000000002E-3</v>
      </c>
      <c r="E13" s="7">
        <v>-6.1892583120204625E-2</v>
      </c>
      <c r="F13" s="7">
        <v>-1.9250897129186595E-2</v>
      </c>
      <c r="G13" s="7">
        <v>4.8867699642431317E-2</v>
      </c>
      <c r="H13" s="3">
        <v>0.1123</v>
      </c>
      <c r="I13" s="7">
        <v>4.1339842742359197E-2</v>
      </c>
      <c r="K13" s="31" t="s">
        <v>15</v>
      </c>
    </row>
    <row r="14" spans="2:21" x14ac:dyDescent="0.25">
      <c r="B14" s="13">
        <v>39356</v>
      </c>
      <c r="C14" s="8">
        <v>3.0000000000000001E-3</v>
      </c>
      <c r="D14" s="8">
        <v>9.1999999999999998E-3</v>
      </c>
      <c r="E14" s="8">
        <v>-4.0331491712707113E-2</v>
      </c>
      <c r="F14" s="8">
        <v>-3.9219422952319283E-2</v>
      </c>
      <c r="G14" s="8">
        <v>9.1954022988505857E-2</v>
      </c>
      <c r="H14" s="4">
        <v>8.0799999999999997E-2</v>
      </c>
      <c r="I14" s="8">
        <v>4.3763073874270697E-2</v>
      </c>
    </row>
    <row r="15" spans="2:21" ht="18.75" x14ac:dyDescent="0.3">
      <c r="B15" s="12">
        <v>39387</v>
      </c>
      <c r="C15" s="7">
        <v>3.8E-3</v>
      </c>
      <c r="D15" s="7">
        <v>8.3999999999999995E-3</v>
      </c>
      <c r="E15" s="7">
        <v>2.6315789473684292E-2</v>
      </c>
      <c r="F15" s="7">
        <v>3.9511266264677936E-2</v>
      </c>
      <c r="G15" s="7">
        <v>5.8947368421052637E-2</v>
      </c>
      <c r="H15" s="3">
        <v>-2.9399999999999999E-2</v>
      </c>
      <c r="I15" s="7">
        <v>-6.1046358314434897E-2</v>
      </c>
      <c r="K15" s="30" t="s">
        <v>24</v>
      </c>
      <c r="L15" s="1" t="s">
        <v>11</v>
      </c>
      <c r="P15" s="29" t="s">
        <v>25</v>
      </c>
      <c r="Q15" s="1" t="s">
        <v>12</v>
      </c>
      <c r="R15" s="5"/>
    </row>
    <row r="16" spans="2:21" x14ac:dyDescent="0.25">
      <c r="B16" s="14">
        <v>39417</v>
      </c>
      <c r="C16" s="9">
        <v>7.4000000000000003E-3</v>
      </c>
      <c r="D16" s="9">
        <v>8.3999999999999995E-3</v>
      </c>
      <c r="E16" s="9">
        <v>-9.4760312151617176E-3</v>
      </c>
      <c r="F16" s="9">
        <v>-4.5031292932377065E-3</v>
      </c>
      <c r="G16" s="9">
        <v>-4.115226337448652E-3</v>
      </c>
      <c r="H16" s="10">
        <v>8.0000000000000002E-3</v>
      </c>
      <c r="I16" s="9">
        <v>-1.3283904850169901E-2</v>
      </c>
      <c r="K16" s="28" t="s">
        <v>22</v>
      </c>
      <c r="L16" s="28" t="s">
        <v>21</v>
      </c>
      <c r="M16" s="28" t="s">
        <v>17</v>
      </c>
      <c r="N16" s="28" t="s">
        <v>16</v>
      </c>
      <c r="O16" s="5"/>
      <c r="P16" s="28" t="s">
        <v>22</v>
      </c>
      <c r="Q16" s="28" t="s">
        <v>21</v>
      </c>
      <c r="R16" s="28" t="s">
        <v>17</v>
      </c>
      <c r="S16" s="28" t="s">
        <v>16</v>
      </c>
    </row>
    <row r="17" spans="2:19" x14ac:dyDescent="0.25">
      <c r="B17" s="12">
        <v>39448</v>
      </c>
      <c r="C17" s="7">
        <v>5.4000000000000003E-3</v>
      </c>
      <c r="D17" s="7">
        <v>9.1999999999999998E-3</v>
      </c>
      <c r="E17" s="7">
        <v>-5.6465273856578513E-3</v>
      </c>
      <c r="F17" s="7">
        <v>2.4917580311278886E-3</v>
      </c>
      <c r="G17" s="7">
        <v>5.070993914807298E-2</v>
      </c>
      <c r="H17" s="3">
        <v>-8.0399999999999999E-2</v>
      </c>
      <c r="I17" s="7">
        <v>-0.111392573195955</v>
      </c>
      <c r="K17" s="32">
        <v>1</v>
      </c>
      <c r="L17" s="33">
        <f>LARGE($L$5:$R$11,K17)</f>
        <v>0.88466061080679737</v>
      </c>
      <c r="M17" s="34" t="str">
        <f>INDEX($K$5:$K$11,(ROW($K$11)*IFERROR(MATCH($L17,$L$11:$R$11,0)&gt;0,0))+(ROW($K$10)*IFERROR(MATCH($L17,$L$10:$R$10,0)&gt;0,0))+(ROW($K$9)*IFERROR(MATCH($L17,$L$9:$R$9,0)&gt;0,0))+(ROW($K$8)*IFERROR(MATCH($L17,$L$8:$R$8,0)&gt;0,0))+(ROW($K$7)*IFERROR(MATCH($L17,$L$7:$R$7,0)&gt;0,0))+(ROW($K$6)*IFERROR(MATCH($L17,$L$6:$R$6,0)&gt;0,0))+(ROW($K$5)*IFERROR(MATCH($L17,$L$5:$R$5,0)&gt;0,0))-4)</f>
        <v>SMLL</v>
      </c>
      <c r="N17" s="34" t="str">
        <f>INDEX($L$4:$R$4,0,(COLUMN($R$4)*IFERROR(MATCH($L17,$R$5:$R$11,0)&gt;0,0))+(COLUMN($Q$4)*IFERROR(MATCH($L17,$Q$5:$Q$11,0)&gt;0,0))+(COLUMN($P$4)*IFERROR(MATCH($L17,$P$5:$P$11,0)&gt;0,0))+(COLUMN($O$4)*IFERROR(MATCH($L17,$O$5:$O$11,0)&gt;0,0))+(COLUMN($N$4)*IFERROR(MATCH($L17,$N$5:$N$11,0)&gt;0,0))+(COLUMN($M$4)*IFERROR(MATCH($L17,$M$5:$M$11,0)&gt;0,0))+(COLUMN($L$4)*IFERROR(MATCH($L17,$L$5:$L$11,0)&gt;0,0))-11)</f>
        <v>Ibovespa</v>
      </c>
      <c r="O17" s="32"/>
      <c r="P17" s="32">
        <v>1</v>
      </c>
      <c r="Q17" s="33">
        <f>SMALL($L$5:$R$11,P17)</f>
        <v>-0.72042516692908043</v>
      </c>
      <c r="R17" s="34" t="str">
        <f>INDEX($K$5:$K$11,(ROW($K$11)*IFERROR(MATCH($Q17,$L$11:$R$11,0)&gt;0,0))+(ROW($K$10)*IFERROR(MATCH($Q17,$L$10:$R$10,0)&gt;0,0))+(ROW($K$9)*IFERROR(MATCH($Q17,$L$9:$R$9,0)&gt;0,0))+(ROW($K$8)*IFERROR(MATCH($Q17,$L$8:$R$8,0)&gt;0,0))+(ROW($K$7)*IFERROR(MATCH($Q17,$L$7:$R$7,0)&gt;0,0))+(ROW($K$6)*IFERROR(MATCH($Q17,$L$6:$R$6,0)&gt;0,0))+(ROW($K$5)*IFERROR(MATCH($Q17,$L$5:$R$5,0)&gt;0,0))-4)</f>
        <v>SMLL</v>
      </c>
      <c r="S17" s="34" t="str">
        <f>INDEX($L$4:$R$4,0,(COLUMN($R$4)*IFERROR(MATCH($Q17,$R$5:$R$11,0)&gt;0,0))+(COLUMN($Q$4)*IFERROR(MATCH($Q17,$Q$5:$Q$11,0)&gt;0,0))+(COLUMN($P$4)*IFERROR(MATCH($Q17,$P$5:$P$11,0)&gt;0,0))+(COLUMN($O$4)*IFERROR(MATCH($Q17,$O$5:$O$11,0)&gt;0,0))+(COLUMN($N$4)*IFERROR(MATCH($Q17,$N$5:$N$11,0)&gt;0,0))+(COLUMN($M$4)*IFERROR(MATCH($Q17,$M$5:$M$11,0)&gt;0,0))+(COLUMN($L$4)*IFERROR(MATCH($Q17,$L$5:$L$11,0)&gt;0,0))-11)</f>
        <v>DÓLAR</v>
      </c>
    </row>
    <row r="18" spans="2:19" x14ac:dyDescent="0.25">
      <c r="B18" s="13">
        <v>39479</v>
      </c>
      <c r="C18" s="8">
        <v>4.8999999999999998E-3</v>
      </c>
      <c r="D18" s="8">
        <v>7.9000000000000008E-3</v>
      </c>
      <c r="E18" s="8">
        <v>-3.1500572737686139E-2</v>
      </c>
      <c r="F18" s="8">
        <v>-2.2255363083629631E-2</v>
      </c>
      <c r="G18" s="8">
        <v>2.9239766081871288E-2</v>
      </c>
      <c r="H18" s="4">
        <v>9.0499999999999997E-2</v>
      </c>
      <c r="I18" s="8">
        <v>7.6990422908147504E-2</v>
      </c>
      <c r="K18" s="32">
        <v>2</v>
      </c>
      <c r="L18" s="33">
        <f>LARGE($L$5:$R$11,K18)</f>
        <v>0.63407257588210075</v>
      </c>
      <c r="M18" s="34" t="str">
        <f t="shared" ref="M18:M21" si="6">INDEX($K$5:$K$11,(ROW($K$11)*IFERROR(MATCH($L18,$L$11:$R$11,0)&gt;0,0))+(ROW($K$10)*IFERROR(MATCH($L18,$L$10:$R$10,0)&gt;0,0))+(ROW($K$9)*IFERROR(MATCH($L18,$L$9:$R$9,0)&gt;0,0))+(ROW($K$8)*IFERROR(MATCH($L18,$L$8:$R$8,0)&gt;0,0))+(ROW($K$7)*IFERROR(MATCH($L18,$L$7:$R$7,0)&gt;0,0))+(ROW($K$6)*IFERROR(MATCH($L18,$L$6:$R$6,0)&gt;0,0))+(ROW($K$5)*IFERROR(MATCH($L18,$L$5:$R$5,0)&gt;0,0))-4)</f>
        <v>EURO</v>
      </c>
      <c r="N18" s="34" t="str">
        <f t="shared" ref="N18:N21" si="7">INDEX($L$4:$R$4,0,(COLUMN($R$4)*IFERROR(MATCH($L18,$R$5:$R$11,0)&gt;0,0))+(COLUMN($Q$4)*IFERROR(MATCH($L18,$Q$5:$Q$11,0)&gt;0,0))+(COLUMN($P$4)*IFERROR(MATCH($L18,$P$5:$P$11,0)&gt;0,0))+(COLUMN($O$4)*IFERROR(MATCH($L18,$O$5:$O$11,0)&gt;0,0))+(COLUMN($N$4)*IFERROR(MATCH($L18,$N$5:$N$11,0)&gt;0,0))+(COLUMN($M$4)*IFERROR(MATCH($L18,$M$5:$M$11,0)&gt;0,0))+(COLUMN($L$4)*IFERROR(MATCH($L18,$L$5:$L$11,0)&gt;0,0))-11)</f>
        <v>DÓLAR</v>
      </c>
      <c r="O18" s="32"/>
      <c r="P18" s="32">
        <v>2</v>
      </c>
      <c r="Q18" s="33">
        <f t="shared" ref="Q18:Q21" si="8">SMALL($L$5:$R$11,P18)</f>
        <v>-0.71953577309243855</v>
      </c>
      <c r="R18" s="34" t="str">
        <f t="shared" ref="R18:R21" si="9">INDEX($K$5:$K$11,(ROW($K$11)*IFERROR(MATCH($Q18,$L$11:$R$11,0)&gt;0,0))+(ROW($K$10)*IFERROR(MATCH($Q18,$L$10:$R$10,0)&gt;0,0))+(ROW($K$9)*IFERROR(MATCH($Q18,$L$9:$R$9,0)&gt;0,0))+(ROW($K$8)*IFERROR(MATCH($Q18,$L$8:$R$8,0)&gt;0,0))+(ROW($K$7)*IFERROR(MATCH($Q18,$L$7:$R$7,0)&gt;0,0))+(ROW($K$6)*IFERROR(MATCH($Q18,$L$6:$R$6,0)&gt;0,0))+(ROW($K$5)*IFERROR(MATCH($Q18,$L$5:$R$5,0)&gt;0,0))-4)</f>
        <v>Ibovespa</v>
      </c>
      <c r="S18" s="34" t="str">
        <f t="shared" ref="S18:S21" si="10">INDEX($L$4:$R$4,0,(COLUMN($R$4)*IFERROR(MATCH($Q18,$R$5:$R$11,0)&gt;0,0))+(COLUMN($Q$4)*IFERROR(MATCH($Q18,$Q$5:$Q$11,0)&gt;0,0))+(COLUMN($P$4)*IFERROR(MATCH($Q18,$P$5:$P$11,0)&gt;0,0))+(COLUMN($O$4)*IFERROR(MATCH($Q18,$O$5:$O$11,0)&gt;0,0))+(COLUMN($N$4)*IFERROR(MATCH($Q18,$N$5:$N$11,0)&gt;0,0))+(COLUMN($M$4)*IFERROR(MATCH($Q18,$M$5:$M$11,0)&gt;0,0))+(COLUMN($L$4)*IFERROR(MATCH($Q18,$L$5:$L$11,0)&gt;0,0))-11)</f>
        <v>DÓLAR</v>
      </c>
    </row>
    <row r="19" spans="2:19" x14ac:dyDescent="0.25">
      <c r="B19" s="12">
        <v>39508</v>
      </c>
      <c r="C19" s="7">
        <v>4.7999999999999996E-3</v>
      </c>
      <c r="D19" s="7">
        <v>8.3999999999999995E-3</v>
      </c>
      <c r="E19" s="7">
        <v>4.8444976076555069E-2</v>
      </c>
      <c r="F19" s="7">
        <v>7.9666783996245494E-2</v>
      </c>
      <c r="G19" s="7">
        <v>-2.4621212121212044E-2</v>
      </c>
      <c r="H19" s="3">
        <v>-5.5300000000000002E-2</v>
      </c>
      <c r="I19" s="7">
        <v>-0.10439963518122</v>
      </c>
      <c r="K19" s="32">
        <v>3</v>
      </c>
      <c r="L19" s="33">
        <f t="shared" ref="L19:L21" si="11">LARGE($L$5:$R$11,K19)</f>
        <v>0.48664529168156051</v>
      </c>
      <c r="M19" s="34" t="str">
        <f t="shared" si="6"/>
        <v>OURO</v>
      </c>
      <c r="N19" s="34" t="str">
        <f t="shared" si="7"/>
        <v>EURO</v>
      </c>
      <c r="O19" s="32"/>
      <c r="P19" s="32">
        <v>3</v>
      </c>
      <c r="Q19" s="33">
        <f t="shared" si="8"/>
        <v>-0.42922672751103341</v>
      </c>
      <c r="R19" s="34" t="str">
        <f t="shared" si="9"/>
        <v>SMLL</v>
      </c>
      <c r="S19" s="34" t="str">
        <f t="shared" si="10"/>
        <v>EURO</v>
      </c>
    </row>
    <row r="20" spans="2:19" x14ac:dyDescent="0.25">
      <c r="B20" s="13">
        <v>39539</v>
      </c>
      <c r="C20" s="8">
        <v>5.5000000000000005E-3</v>
      </c>
      <c r="D20" s="8">
        <v>9.0000000000000011E-3</v>
      </c>
      <c r="E20" s="8">
        <v>-4.6418338108882629E-2</v>
      </c>
      <c r="F20" s="8">
        <v>-4.5388683619503101E-2</v>
      </c>
      <c r="G20" s="8">
        <v>-6.9999999999999951E-2</v>
      </c>
      <c r="H20" s="4">
        <v>7.6799999999999993E-2</v>
      </c>
      <c r="I20" s="8">
        <v>0.106917125114843</v>
      </c>
      <c r="K20" s="32">
        <v>4</v>
      </c>
      <c r="L20" s="33">
        <f t="shared" si="11"/>
        <v>0.33228539665549234</v>
      </c>
      <c r="M20" s="34" t="str">
        <f t="shared" si="6"/>
        <v>OURO</v>
      </c>
      <c r="N20" s="34" t="str">
        <f t="shared" si="7"/>
        <v>DÓLAR</v>
      </c>
      <c r="O20" s="32"/>
      <c r="P20" s="32">
        <v>4</v>
      </c>
      <c r="Q20" s="33">
        <f t="shared" si="8"/>
        <v>-0.39673130752303565</v>
      </c>
      <c r="R20" s="34" t="str">
        <f t="shared" si="9"/>
        <v>SMLL</v>
      </c>
      <c r="S20" s="34" t="str">
        <f t="shared" si="10"/>
        <v>CDI</v>
      </c>
    </row>
    <row r="21" spans="2:19" x14ac:dyDescent="0.25">
      <c r="B21" s="12">
        <v>39569</v>
      </c>
      <c r="C21" s="7">
        <v>7.9000000000000008E-3</v>
      </c>
      <c r="D21" s="7">
        <v>8.6999999999999994E-3</v>
      </c>
      <c r="E21" s="7">
        <v>-1.1536126290224713E-2</v>
      </c>
      <c r="F21" s="7">
        <v>-3.806018290137736E-2</v>
      </c>
      <c r="G21" s="7">
        <v>2.8697571743929506E-2</v>
      </c>
      <c r="H21" s="3">
        <v>9.8799999999999999E-2</v>
      </c>
      <c r="I21" s="7">
        <v>0.10313</v>
      </c>
      <c r="K21" s="32">
        <v>5</v>
      </c>
      <c r="L21" s="33">
        <f t="shared" si="11"/>
        <v>0.30325252063633845</v>
      </c>
      <c r="M21" s="34" t="str">
        <f t="shared" si="6"/>
        <v>DÓLAR</v>
      </c>
      <c r="N21" s="34" t="str">
        <f t="shared" si="7"/>
        <v>CDI</v>
      </c>
      <c r="O21" s="32"/>
      <c r="P21" s="32">
        <v>5</v>
      </c>
      <c r="Q21" s="33">
        <f t="shared" si="8"/>
        <v>-0.32380855650967588</v>
      </c>
      <c r="R21" s="34" t="str">
        <f t="shared" si="9"/>
        <v>Ibovespa</v>
      </c>
      <c r="S21" s="34" t="str">
        <f t="shared" si="10"/>
        <v>EURO</v>
      </c>
    </row>
    <row r="22" spans="2:19" x14ac:dyDescent="0.25">
      <c r="B22" s="13">
        <v>39600</v>
      </c>
      <c r="C22" s="8">
        <v>7.4000000000000003E-3</v>
      </c>
      <c r="D22" s="8">
        <v>9.4999999999999998E-3</v>
      </c>
      <c r="E22" s="8">
        <v>-2.204531537048382E-2</v>
      </c>
      <c r="F22" s="8">
        <v>-1.1321499013806746E-2</v>
      </c>
      <c r="G22" s="8">
        <v>8.5836909871244149E-3</v>
      </c>
      <c r="H22" s="4">
        <v>-0.10440000000000001</v>
      </c>
      <c r="I22" s="8">
        <v>-9.4957076681805502E-2</v>
      </c>
    </row>
    <row r="23" spans="2:19" x14ac:dyDescent="0.25">
      <c r="B23" s="12">
        <v>39630</v>
      </c>
      <c r="C23" s="7">
        <v>5.3E-3</v>
      </c>
      <c r="D23" s="7">
        <v>1.06E-2</v>
      </c>
      <c r="E23" s="7">
        <v>-2.6791277258566892E-2</v>
      </c>
      <c r="F23" s="7">
        <v>-2.4899999999999999E-2</v>
      </c>
      <c r="G23" s="7">
        <v>-6.1224489795918324E-2</v>
      </c>
      <c r="H23" s="3">
        <v>-8.48E-2</v>
      </c>
      <c r="I23" s="7">
        <v>-2.7043810973777501E-2</v>
      </c>
    </row>
    <row r="24" spans="2:19" x14ac:dyDescent="0.25">
      <c r="B24" s="13">
        <v>39661</v>
      </c>
      <c r="C24" s="8">
        <v>2.8000000000000004E-3</v>
      </c>
      <c r="D24" s="8">
        <v>1.01E-2</v>
      </c>
      <c r="E24" s="8">
        <v>4.606525911708248E-2</v>
      </c>
      <c r="F24" s="8">
        <v>-1.8599999999999998E-2</v>
      </c>
      <c r="G24" s="8">
        <v>-5.3763440860215006E-2</v>
      </c>
      <c r="H24" s="4">
        <v>-6.4299999999999996E-2</v>
      </c>
      <c r="I24" s="8">
        <v>-0.10488171467396901</v>
      </c>
      <c r="K24" s="16"/>
    </row>
    <row r="25" spans="2:19" x14ac:dyDescent="0.25">
      <c r="B25" s="12">
        <v>39692</v>
      </c>
      <c r="C25" s="7">
        <v>2.5999999999999999E-3</v>
      </c>
      <c r="D25" s="7">
        <v>1.1000000000000001E-2</v>
      </c>
      <c r="E25" s="7">
        <v>0.15674362089914951</v>
      </c>
      <c r="F25" s="7">
        <v>0.12280000000000001</v>
      </c>
      <c r="G25" s="7">
        <v>0.19777777777777783</v>
      </c>
      <c r="H25" s="3">
        <v>-0.1103</v>
      </c>
      <c r="I25" s="7">
        <v>-0.232340425531915</v>
      </c>
      <c r="M25" s="5"/>
    </row>
    <row r="26" spans="2:19" x14ac:dyDescent="0.25">
      <c r="B26" s="13">
        <v>39722</v>
      </c>
      <c r="C26" s="8">
        <v>4.5000000000000005E-3</v>
      </c>
      <c r="D26" s="8">
        <v>1.1699999999999999E-2</v>
      </c>
      <c r="E26" s="8">
        <v>0.12207792207792223</v>
      </c>
      <c r="F26" s="8">
        <v>-4.0000000000000002E-4</v>
      </c>
      <c r="G26" s="8">
        <v>-7.4410163339382995E-2</v>
      </c>
      <c r="H26" s="4">
        <v>-0.248</v>
      </c>
      <c r="I26" s="8">
        <v>-0.269311440043147</v>
      </c>
    </row>
    <row r="27" spans="2:19" x14ac:dyDescent="0.25">
      <c r="B27" s="12">
        <v>39753</v>
      </c>
      <c r="C27" s="7">
        <v>3.5999999999999999E-3</v>
      </c>
      <c r="D27" s="7">
        <v>0.01</v>
      </c>
      <c r="E27" s="7">
        <v>6.780442804428044E-2</v>
      </c>
      <c r="F27" s="7">
        <v>0.1004</v>
      </c>
      <c r="G27" s="7">
        <v>0.10305343511450382</v>
      </c>
      <c r="H27" s="3">
        <v>-1.77E-2</v>
      </c>
      <c r="I27" s="7">
        <v>-2.50963667678176E-2</v>
      </c>
    </row>
    <row r="28" spans="2:19" x14ac:dyDescent="0.25">
      <c r="B28" s="14">
        <v>39783</v>
      </c>
      <c r="C28" s="9">
        <v>2.8000000000000004E-3</v>
      </c>
      <c r="D28" s="9">
        <v>1.11E-2</v>
      </c>
      <c r="E28" s="9">
        <v>6.0344827586207295E-3</v>
      </c>
      <c r="F28" s="9">
        <v>9.3100000000000002E-2</v>
      </c>
      <c r="G28" s="9">
        <v>0.10258620689655173</v>
      </c>
      <c r="H28" s="10">
        <v>2.6100000000000002E-2</v>
      </c>
      <c r="I28" s="9">
        <v>3.8487423235467298E-2</v>
      </c>
    </row>
    <row r="29" spans="2:19" x14ac:dyDescent="0.25">
      <c r="B29" s="12">
        <v>39814</v>
      </c>
      <c r="C29" s="7">
        <v>4.7999999999999996E-3</v>
      </c>
      <c r="D29" s="7">
        <v>1.0426999999999999E-2</v>
      </c>
      <c r="E29" s="7">
        <v>-6.4294899271325479E-3</v>
      </c>
      <c r="F29" s="7">
        <v>-8.3099999999999993E-2</v>
      </c>
      <c r="G29" s="7">
        <v>6.315955268546225E-2</v>
      </c>
      <c r="H29" s="3">
        <v>4.6600000000000003E-2</v>
      </c>
      <c r="I29" s="7">
        <v>3.0377901089551101E-4</v>
      </c>
    </row>
    <row r="30" spans="2:19" x14ac:dyDescent="0.25">
      <c r="B30" s="13">
        <v>39845</v>
      </c>
      <c r="C30" s="8">
        <v>5.5000000000000005E-3</v>
      </c>
      <c r="D30" s="8">
        <v>8.5269999999999999E-3</v>
      </c>
      <c r="E30" s="8">
        <v>2.068074105988793E-2</v>
      </c>
      <c r="F30" s="8">
        <v>1.7500000000000002E-2</v>
      </c>
      <c r="G30" s="8">
        <v>4.0118870728083289E-2</v>
      </c>
      <c r="H30" s="4">
        <v>-2.8400000000000002E-2</v>
      </c>
      <c r="I30" s="8">
        <v>-4.9824873969995798E-2</v>
      </c>
    </row>
    <row r="31" spans="2:19" x14ac:dyDescent="0.25">
      <c r="B31" s="12">
        <v>39873</v>
      </c>
      <c r="C31" s="7">
        <v>2E-3</v>
      </c>
      <c r="D31" s="7">
        <v>9.665E-3</v>
      </c>
      <c r="E31" s="7">
        <v>-5.0778050778050865E-2</v>
      </c>
      <c r="F31" s="7">
        <v>1.89E-2</v>
      </c>
      <c r="G31" s="7">
        <v>-6.6852367688022274E-2</v>
      </c>
      <c r="H31" s="3">
        <v>7.1800000000000003E-2</v>
      </c>
      <c r="I31" s="7">
        <v>2.65064348418989E-2</v>
      </c>
    </row>
    <row r="32" spans="2:19" x14ac:dyDescent="0.25">
      <c r="B32" s="13">
        <v>39904</v>
      </c>
      <c r="C32" s="8">
        <v>4.7999999999999996E-3</v>
      </c>
      <c r="D32" s="8">
        <v>8.3560000000000006E-3</v>
      </c>
      <c r="E32" s="8">
        <v>-4.3421052631578805E-2</v>
      </c>
      <c r="F32" s="8">
        <v>-6.3600000000000004E-2</v>
      </c>
      <c r="G32" s="8">
        <v>-6.381381381381368E-2</v>
      </c>
      <c r="H32" s="4">
        <v>0.1555</v>
      </c>
      <c r="I32" s="8">
        <v>0.324642975755563</v>
      </c>
    </row>
    <row r="33" spans="2:9" x14ac:dyDescent="0.25">
      <c r="B33" s="12">
        <v>39934</v>
      </c>
      <c r="C33" s="7">
        <v>4.6999999999999993E-3</v>
      </c>
      <c r="D33" s="7">
        <v>7.6639999999999998E-3</v>
      </c>
      <c r="E33" s="7">
        <v>-7.5117370892018753E-2</v>
      </c>
      <c r="F33" s="7">
        <v>-3.2300000000000002E-2</v>
      </c>
      <c r="G33" s="7">
        <v>2.4390243902439046E-2</v>
      </c>
      <c r="H33" s="3">
        <v>0.1249</v>
      </c>
      <c r="I33" s="7">
        <v>0.12225774100539</v>
      </c>
    </row>
    <row r="34" spans="2:9" x14ac:dyDescent="0.25">
      <c r="B34" s="13">
        <v>39965</v>
      </c>
      <c r="C34" s="8">
        <v>3.5999999999999999E-3</v>
      </c>
      <c r="D34" s="8">
        <v>7.5139999999999998E-3</v>
      </c>
      <c r="E34" s="8">
        <v>5.6323604710701858E-3</v>
      </c>
      <c r="F34" s="8">
        <v>-1.77E-2</v>
      </c>
      <c r="G34" s="8">
        <v>-2.7552674230145957E-2</v>
      </c>
      <c r="H34" s="4">
        <v>-3.2599999999999997E-2</v>
      </c>
      <c r="I34" s="8">
        <v>6.0040771872993401E-3</v>
      </c>
    </row>
    <row r="35" spans="2:9" x14ac:dyDescent="0.25">
      <c r="B35" s="12">
        <v>39995</v>
      </c>
      <c r="C35" s="7">
        <v>2.3999999999999998E-3</v>
      </c>
      <c r="D35" s="7">
        <v>7.8399999999999997E-3</v>
      </c>
      <c r="E35" s="7">
        <v>-3.61E-2</v>
      </c>
      <c r="F35" s="7">
        <v>-2.5000000000000001E-2</v>
      </c>
      <c r="G35" s="7">
        <v>-2.3900000000000001E-2</v>
      </c>
      <c r="H35" s="3">
        <v>6.4100000000000004E-2</v>
      </c>
      <c r="I35" s="7">
        <v>0.159338218965134</v>
      </c>
    </row>
    <row r="36" spans="2:9" x14ac:dyDescent="0.25">
      <c r="B36" s="13">
        <v>40026</v>
      </c>
      <c r="C36" s="8">
        <v>1.5E-3</v>
      </c>
      <c r="D36" s="8">
        <v>6.914E-3</v>
      </c>
      <c r="E36" s="8">
        <v>7.4000000000000003E-3</v>
      </c>
      <c r="F36" s="8">
        <v>1.11E-2</v>
      </c>
      <c r="G36" s="8">
        <v>0</v>
      </c>
      <c r="H36" s="4">
        <v>3.15E-2</v>
      </c>
      <c r="I36" s="8">
        <v>7.9817546212048701E-2</v>
      </c>
    </row>
    <row r="37" spans="2:9" x14ac:dyDescent="0.25">
      <c r="B37" s="12">
        <v>40057</v>
      </c>
      <c r="C37" s="7">
        <v>2.3999999999999998E-3</v>
      </c>
      <c r="D37" s="7">
        <v>6.9150000000000001E-3</v>
      </c>
      <c r="E37" s="7">
        <v>-5.74E-2</v>
      </c>
      <c r="F37" s="7">
        <v>-3.6999999999999998E-2</v>
      </c>
      <c r="G37" s="7">
        <v>9.7000000000000003E-3</v>
      </c>
      <c r="H37" s="3">
        <v>8.8999999999999996E-2</v>
      </c>
      <c r="I37" s="7">
        <v>7.3700000000000002E-2</v>
      </c>
    </row>
    <row r="38" spans="2:9" x14ac:dyDescent="0.25">
      <c r="B38" s="13">
        <v>40087</v>
      </c>
      <c r="C38" s="8">
        <v>2.8000000000000004E-3</v>
      </c>
      <c r="D38" s="8">
        <v>6.9120000000000006E-3</v>
      </c>
      <c r="E38" s="8">
        <v>-1.9199999999999998E-2</v>
      </c>
      <c r="F38" s="8">
        <v>-1.18E-2</v>
      </c>
      <c r="G38" s="8">
        <v>2.6100000000000002E-2</v>
      </c>
      <c r="H38" s="4">
        <v>5.0000000000000001E-4</v>
      </c>
      <c r="I38" s="8">
        <v>2.6200000000000001E-2</v>
      </c>
    </row>
    <row r="39" spans="2:9" x14ac:dyDescent="0.25">
      <c r="B39" s="12">
        <v>40118</v>
      </c>
      <c r="C39" s="7">
        <v>4.0999999999999995E-3</v>
      </c>
      <c r="D39" s="7">
        <v>6.5900000000000004E-3</v>
      </c>
      <c r="E39" s="7">
        <v>3.7000000000000002E-3</v>
      </c>
      <c r="F39" s="7">
        <v>2.1700000000000001E-2</v>
      </c>
      <c r="G39" s="7">
        <v>0.15029999999999999</v>
      </c>
      <c r="H39" s="3">
        <v>8.9399999999999993E-2</v>
      </c>
      <c r="I39" s="7">
        <v>0.12590000000000001</v>
      </c>
    </row>
    <row r="40" spans="2:9" x14ac:dyDescent="0.25">
      <c r="B40" s="14">
        <v>40148</v>
      </c>
      <c r="C40" s="9">
        <v>3.7000000000000002E-3</v>
      </c>
      <c r="D40" s="9">
        <v>7.2379999999999996E-3</v>
      </c>
      <c r="E40" s="9">
        <v>1.0500000000000001E-2</v>
      </c>
      <c r="F40" s="9">
        <v>-4.53E-2</v>
      </c>
      <c r="G40" s="9">
        <v>-0.1053</v>
      </c>
      <c r="H40" s="10">
        <v>2.3E-2</v>
      </c>
      <c r="I40" s="9">
        <v>4.82E-2</v>
      </c>
    </row>
    <row r="41" spans="2:9" x14ac:dyDescent="0.25">
      <c r="B41" s="12">
        <v>40179</v>
      </c>
      <c r="C41" s="7">
        <v>7.4999999999999997E-3</v>
      </c>
      <c r="D41" s="7">
        <v>6.6E-3</v>
      </c>
      <c r="E41" s="7">
        <v>7.6700000000000004E-2</v>
      </c>
      <c r="F41" s="7">
        <v>3.818834796488435E-2</v>
      </c>
      <c r="G41" s="7">
        <v>6.4500000000000002E-2</v>
      </c>
      <c r="H41" s="3">
        <v>-4.6500000000000007E-2</v>
      </c>
      <c r="I41" s="7">
        <v>-3.6700000000000003E-2</v>
      </c>
    </row>
    <row r="42" spans="2:9" x14ac:dyDescent="0.25">
      <c r="B42" s="13">
        <v>40210</v>
      </c>
      <c r="C42" s="8">
        <v>7.7999999999999996E-3</v>
      </c>
      <c r="D42" s="8">
        <v>5.8999999999999999E-3</v>
      </c>
      <c r="E42" s="8">
        <v>-3.4000000000000002E-2</v>
      </c>
      <c r="F42" s="8">
        <v>-5.2400000000000002E-2</v>
      </c>
      <c r="G42" s="8">
        <v>-1.2E-2</v>
      </c>
      <c r="H42" s="4">
        <v>1.6799999999999999E-2</v>
      </c>
      <c r="I42" s="8">
        <v>3.15E-2</v>
      </c>
    </row>
    <row r="43" spans="2:9" x14ac:dyDescent="0.25">
      <c r="B43" s="12">
        <v>40238</v>
      </c>
      <c r="C43" s="7">
        <v>5.1999999999999998E-3</v>
      </c>
      <c r="D43" s="7">
        <v>7.6E-3</v>
      </c>
      <c r="E43" s="7">
        <v>-1.66E-2</v>
      </c>
      <c r="F43" s="7">
        <v>-2.4E-2</v>
      </c>
      <c r="G43" s="7">
        <v>4.2799999999999998E-2</v>
      </c>
      <c r="H43" s="3">
        <v>5.28E-2</v>
      </c>
      <c r="I43" s="7">
        <v>-1.3599999999999999E-2</v>
      </c>
    </row>
    <row r="44" spans="2:9" x14ac:dyDescent="0.25">
      <c r="B44" s="13">
        <v>40269</v>
      </c>
      <c r="C44" s="8">
        <v>5.7000000000000002E-3</v>
      </c>
      <c r="D44" s="8">
        <v>6.3E-3</v>
      </c>
      <c r="E44" s="8">
        <v>-2.8299999999999999E-2</v>
      </c>
      <c r="F44" s="8">
        <v>-4.3099999999999999E-2</v>
      </c>
      <c r="G44" s="8">
        <v>1.47E-2</v>
      </c>
      <c r="H44" s="4">
        <v>-4.0399999999999998E-2</v>
      </c>
      <c r="I44" s="8">
        <v>-4.7999999999999996E-3</v>
      </c>
    </row>
    <row r="45" spans="2:9" x14ac:dyDescent="0.25">
      <c r="B45" s="12">
        <v>40299</v>
      </c>
      <c r="C45" s="7">
        <v>4.3E-3</v>
      </c>
      <c r="D45" s="7">
        <v>7.4999999999999997E-3</v>
      </c>
      <c r="E45" s="7">
        <v>4.9799999999999997E-2</v>
      </c>
      <c r="F45" s="7">
        <v>-2.93E-2</v>
      </c>
      <c r="G45" s="7">
        <v>4.3499999999999997E-2</v>
      </c>
      <c r="H45" s="3">
        <v>-6.6400000000000001E-2</v>
      </c>
      <c r="I45" s="7">
        <v>-3.5400000000000001E-2</v>
      </c>
    </row>
    <row r="46" spans="2:9" x14ac:dyDescent="0.25">
      <c r="B46" s="13">
        <v>40330</v>
      </c>
      <c r="C46" s="8">
        <v>0</v>
      </c>
      <c r="D46" s="8">
        <v>7.9000000000000008E-3</v>
      </c>
      <c r="E46" s="8">
        <v>-8.3999999999999995E-3</v>
      </c>
      <c r="F46" s="8">
        <v>-1.44E-2</v>
      </c>
      <c r="G46" s="8">
        <v>2.92E-2</v>
      </c>
      <c r="H46" s="4">
        <v>-3.3500000000000002E-2</v>
      </c>
      <c r="I46" s="8">
        <v>3.0200000000000001E-2</v>
      </c>
    </row>
    <row r="47" spans="2:9" x14ac:dyDescent="0.25">
      <c r="B47" s="12">
        <v>40360</v>
      </c>
      <c r="C47" s="7">
        <v>1E-4</v>
      </c>
      <c r="D47" s="7">
        <v>8.6E-3</v>
      </c>
      <c r="E47" s="7">
        <v>-2.46E-2</v>
      </c>
      <c r="F47" s="7">
        <v>4.0800000000000003E-2</v>
      </c>
      <c r="G47" s="7">
        <v>-3.9100000000000003E-2</v>
      </c>
      <c r="H47" s="3">
        <v>0.108</v>
      </c>
      <c r="I47" s="7">
        <v>0.1183</v>
      </c>
    </row>
    <row r="48" spans="2:9" x14ac:dyDescent="0.25">
      <c r="B48" s="13"/>
      <c r="C48" s="8"/>
      <c r="D48" s="8"/>
      <c r="E48" s="8"/>
      <c r="F48" s="8"/>
      <c r="G48" s="8"/>
      <c r="H48" s="4"/>
      <c r="I48" s="8"/>
    </row>
    <row r="49" spans="2:9" x14ac:dyDescent="0.25">
      <c r="B49" s="12"/>
      <c r="C49" s="7"/>
      <c r="D49" s="7"/>
      <c r="E49" s="7"/>
      <c r="F49" s="7"/>
      <c r="G49" s="7"/>
      <c r="H49" s="3"/>
      <c r="I49" s="7"/>
    </row>
    <row r="50" spans="2:9" x14ac:dyDescent="0.25">
      <c r="B50" s="13"/>
      <c r="C50" s="8"/>
      <c r="D50" s="8"/>
      <c r="E50" s="8"/>
      <c r="F50" s="8"/>
      <c r="G50" s="8"/>
      <c r="H50" s="4"/>
      <c r="I50" s="8"/>
    </row>
    <row r="51" spans="2:9" x14ac:dyDescent="0.25">
      <c r="B51" s="12"/>
      <c r="C51" s="7"/>
      <c r="D51" s="7"/>
      <c r="E51" s="7"/>
      <c r="F51" s="7"/>
      <c r="G51" s="7"/>
      <c r="H51" s="3"/>
      <c r="I51" s="7"/>
    </row>
    <row r="52" spans="2:9" x14ac:dyDescent="0.25">
      <c r="B52" s="14"/>
      <c r="C52" s="9"/>
      <c r="D52" s="9"/>
      <c r="E52" s="9"/>
      <c r="F52" s="9"/>
      <c r="G52" s="9"/>
      <c r="H52" s="10"/>
      <c r="I52" s="9"/>
    </row>
  </sheetData>
  <conditionalFormatting sqref="L5:R11">
    <cfRule type="cellIs" dxfId="14" priority="3" operator="equal">
      <formula>1</formula>
    </cfRule>
    <cfRule type="cellIs" dxfId="13" priority="4" operator="lessThan">
      <formula>0</formula>
    </cfRule>
  </conditionalFormatting>
  <pageMargins left="0.7" right="0.7" top="0.75" bottom="0.75" header="0.3" footer="0.3"/>
  <customProperties>
    <customPr name="LastActive" r:id="rId1"/>
  </customPropertie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B2:U52"/>
  <sheetViews>
    <sheetView showGridLines="0" tabSelected="1" workbookViewId="0">
      <selection activeCell="B2" sqref="B2"/>
    </sheetView>
  </sheetViews>
  <sheetFormatPr defaultColWidth="8.85546875" defaultRowHeight="15" x14ac:dyDescent="0.25"/>
  <cols>
    <col min="1" max="1" width="4.7109375" customWidth="1"/>
    <col min="8" max="8" width="11.140625" customWidth="1"/>
    <col min="10" max="10" width="6.7109375" customWidth="1"/>
    <col min="11" max="11" width="10.28515625" customWidth="1"/>
  </cols>
  <sheetData>
    <row r="2" spans="2:21" ht="18.75" x14ac:dyDescent="0.3">
      <c r="B2" s="35" t="s">
        <v>9</v>
      </c>
      <c r="C2" s="36"/>
      <c r="D2" s="36"/>
      <c r="E2" s="36"/>
      <c r="F2" s="36"/>
      <c r="G2" s="36"/>
      <c r="H2" s="36"/>
      <c r="I2" s="36"/>
      <c r="K2" s="31" t="s">
        <v>18</v>
      </c>
    </row>
    <row r="3" spans="2:21" ht="15.75" thickBot="1" x14ac:dyDescent="0.3"/>
    <row r="4" spans="2:21" ht="15.75" thickBot="1" x14ac:dyDescent="0.3">
      <c r="B4" s="11" t="s">
        <v>0</v>
      </c>
      <c r="C4" s="6" t="s">
        <v>3</v>
      </c>
      <c r="D4" s="6" t="s">
        <v>4</v>
      </c>
      <c r="E4" s="6" t="s">
        <v>5</v>
      </c>
      <c r="F4" s="6" t="s">
        <v>8</v>
      </c>
      <c r="G4" s="6" t="s">
        <v>6</v>
      </c>
      <c r="H4" s="2" t="s">
        <v>1</v>
      </c>
      <c r="I4" s="6" t="s">
        <v>7</v>
      </c>
      <c r="K4" s="25" t="s">
        <v>10</v>
      </c>
      <c r="L4" s="17" t="str">
        <f>C4</f>
        <v>IPCA</v>
      </c>
      <c r="M4" s="17" t="str">
        <f t="shared" ref="M4:R4" si="0">D4</f>
        <v>CDI</v>
      </c>
      <c r="N4" s="17" t="str">
        <f t="shared" si="0"/>
        <v>DÓLAR</v>
      </c>
      <c r="O4" s="17" t="str">
        <f t="shared" si="0"/>
        <v>EURO</v>
      </c>
      <c r="P4" s="17" t="str">
        <f t="shared" si="0"/>
        <v>OURO</v>
      </c>
      <c r="Q4" s="17" t="str">
        <f t="shared" si="0"/>
        <v>Ibovespa</v>
      </c>
      <c r="R4" s="18" t="str">
        <f t="shared" si="0"/>
        <v>SMLL</v>
      </c>
      <c r="T4" s="5"/>
      <c r="U4" s="15"/>
    </row>
    <row r="5" spans="2:21" x14ac:dyDescent="0.25">
      <c r="B5" s="12">
        <v>39083</v>
      </c>
      <c r="C5" s="7">
        <v>4.4000000000000003E-3</v>
      </c>
      <c r="D5" s="7">
        <v>1.0800000000000001E-2</v>
      </c>
      <c r="E5" s="7">
        <v>-3.7523452157598447E-3</v>
      </c>
      <c r="F5" s="7">
        <v>-1.9679455357776043E-2</v>
      </c>
      <c r="G5" s="7">
        <v>4.4186046511627941E-2</v>
      </c>
      <c r="H5" s="3">
        <v>-5.7000000000000002E-3</v>
      </c>
      <c r="I5" s="7">
        <v>-2.6687903928129399E-2</v>
      </c>
      <c r="K5" s="23" t="str">
        <f>C4</f>
        <v>IPCA</v>
      </c>
      <c r="L5" s="19" t="s">
        <v>13</v>
      </c>
      <c r="M5" s="19"/>
      <c r="N5" s="19"/>
      <c r="O5" s="19"/>
      <c r="P5" s="19"/>
      <c r="Q5" s="19"/>
      <c r="R5" s="20"/>
      <c r="T5" s="5"/>
      <c r="U5" s="15"/>
    </row>
    <row r="6" spans="2:21" x14ac:dyDescent="0.25">
      <c r="B6" s="13">
        <v>39114</v>
      </c>
      <c r="C6" s="8">
        <v>4.4000000000000003E-3</v>
      </c>
      <c r="D6" s="8">
        <v>8.6999999999999994E-3</v>
      </c>
      <c r="E6" s="8">
        <v>9.5192765349834119E-3</v>
      </c>
      <c r="F6" s="8">
        <v>1.399790212319596E-2</v>
      </c>
      <c r="G6" s="8">
        <v>2.2222222222222143E-2</v>
      </c>
      <c r="H6" s="4">
        <v>-1.44E-2</v>
      </c>
      <c r="I6" s="8">
        <v>6.2868646911313801E-3</v>
      </c>
      <c r="K6" s="23" t="str">
        <f>D4</f>
        <v>CDI</v>
      </c>
      <c r="L6" s="19">
        <f>CORREL(Dados_Correlação[CDI],Dados_Correlação[IPCA])</f>
        <v>-0.13532584868144706</v>
      </c>
      <c r="M6" s="19" t="s">
        <v>13</v>
      </c>
      <c r="N6" s="19"/>
      <c r="O6" s="19"/>
      <c r="P6" s="19"/>
      <c r="Q6" s="19"/>
      <c r="R6" s="20"/>
    </row>
    <row r="7" spans="2:21" x14ac:dyDescent="0.25">
      <c r="B7" s="12">
        <v>39142</v>
      </c>
      <c r="C7" s="7">
        <v>3.7000000000000002E-3</v>
      </c>
      <c r="D7" s="7">
        <v>1.0500000000000001E-2</v>
      </c>
      <c r="E7" s="7">
        <v>-2.7384324834749729E-2</v>
      </c>
      <c r="F7" s="7">
        <v>-2.3007776271670055E-2</v>
      </c>
      <c r="G7" s="7">
        <v>-1.7543859649122862E-2</v>
      </c>
      <c r="H7" s="3">
        <v>4.4400000000000002E-2</v>
      </c>
      <c r="I7" s="7">
        <v>3.6842043686310402E-2</v>
      </c>
      <c r="K7" s="23" t="str">
        <f>E4</f>
        <v>DÓLAR</v>
      </c>
      <c r="L7" s="19">
        <f>CORREL(Dados_Correlação[DÓLAR],Dados_Correlação[IPCA])</f>
        <v>5.268658900948011E-2</v>
      </c>
      <c r="M7" s="19">
        <f>CORREL(Dados_Correlação[DÓLAR],Dados_Correlação[CDI])</f>
        <v>0.30325252063633845</v>
      </c>
      <c r="N7" s="19" t="s">
        <v>13</v>
      </c>
      <c r="O7" s="19"/>
      <c r="P7" s="19"/>
      <c r="Q7" s="19"/>
      <c r="R7" s="20"/>
    </row>
    <row r="8" spans="2:21" x14ac:dyDescent="0.25">
      <c r="B8" s="13">
        <v>39173</v>
      </c>
      <c r="C8" s="8">
        <v>2.5000000000000001E-3</v>
      </c>
      <c r="D8" s="8">
        <v>9.3999999999999986E-3</v>
      </c>
      <c r="E8" s="8">
        <v>-5.371093750000111E-3</v>
      </c>
      <c r="F8" s="8">
        <v>1.3728139033918563E-2</v>
      </c>
      <c r="G8" s="8">
        <v>2.3076923076922995E-2</v>
      </c>
      <c r="H8" s="4">
        <v>8.1600000000000006E-2</v>
      </c>
      <c r="I8" s="8">
        <v>7.4033535690911895E-2</v>
      </c>
      <c r="K8" s="23" t="str">
        <f>F4</f>
        <v>EURO</v>
      </c>
      <c r="L8" s="19">
        <f>CORREL(Dados_Correlação[EURO],Dados_Correlação[IPCA])</f>
        <v>-0.19603488392127325</v>
      </c>
      <c r="M8" s="19">
        <f>CORREL(Dados_Correlação[EURO],Dados_Correlação[CDI])</f>
        <v>0.25273551941604938</v>
      </c>
      <c r="N8" s="19">
        <f>CORREL(Dados_Correlação[EURO],Dados_Correlação[DÓLAR])</f>
        <v>0.63407257588210075</v>
      </c>
      <c r="O8" s="19" t="s">
        <v>13</v>
      </c>
      <c r="P8" s="19"/>
      <c r="Q8" s="19"/>
      <c r="R8" s="20"/>
    </row>
    <row r="9" spans="2:21" x14ac:dyDescent="0.25">
      <c r="B9" s="12">
        <v>39203</v>
      </c>
      <c r="C9" s="7">
        <v>2.8000000000000004E-3</v>
      </c>
      <c r="D9" s="7">
        <v>1.0200000000000001E-2</v>
      </c>
      <c r="E9" s="7">
        <v>-4.8913043478260865E-2</v>
      </c>
      <c r="F9" s="7">
        <v>-6.5117954258959165E-2</v>
      </c>
      <c r="G9" s="7">
        <v>-4.3478260869565188E-2</v>
      </c>
      <c r="H9" s="3">
        <v>6.6699999999999995E-2</v>
      </c>
      <c r="I9" s="7">
        <v>9.5363667881869493E-2</v>
      </c>
      <c r="K9" s="23" t="str">
        <f>G4</f>
        <v>OURO</v>
      </c>
      <c r="L9" s="19">
        <f>CORREL(Dados_Correlação[OURO],Dados_Correlação[IPCA])</f>
        <v>1.7179846663523363E-2</v>
      </c>
      <c r="M9" s="19">
        <f>CORREL(Dados_Correlação[OURO],Dados_Correlação[CDI])</f>
        <v>1.1948423007769094E-2</v>
      </c>
      <c r="N9" s="19">
        <f>CORREL(Dados_Correlação[OURO],Dados_Correlação[DÓLAR])</f>
        <v>0.33228539665549234</v>
      </c>
      <c r="O9" s="19">
        <f>CORREL(Dados_Correlação[OURO],Dados_Correlação[EURO])</f>
        <v>0.48664529168156051</v>
      </c>
      <c r="P9" s="19" t="s">
        <v>13</v>
      </c>
      <c r="Q9" s="19"/>
      <c r="R9" s="20"/>
    </row>
    <row r="10" spans="2:21" x14ac:dyDescent="0.25">
      <c r="B10" s="13">
        <v>39234</v>
      </c>
      <c r="C10" s="8">
        <v>2.8000000000000004E-3</v>
      </c>
      <c r="D10" s="8">
        <v>9.0000000000000011E-3</v>
      </c>
      <c r="E10" s="8">
        <v>1.2067156348373631E-2</v>
      </c>
      <c r="F10" s="8">
        <v>4.4689293832107513E-3</v>
      </c>
      <c r="G10" s="8">
        <v>-2.9680365296803624E-2</v>
      </c>
      <c r="H10" s="4">
        <v>3.56E-2</v>
      </c>
      <c r="I10" s="8">
        <v>2.7642432380587102E-2</v>
      </c>
      <c r="K10" s="23" t="str">
        <f>H4</f>
        <v>Ibovespa</v>
      </c>
      <c r="L10" s="19">
        <f>CORREL(Dados_Correlação[Ibovespa],Dados_Correlação[IPCA])</f>
        <v>-0.20024388319437297</v>
      </c>
      <c r="M10" s="19">
        <f>CORREL(Dados_Correlação[Ibovespa],Dados_Correlação[CDI])</f>
        <v>-0.31127627822879228</v>
      </c>
      <c r="N10" s="19">
        <f>CORREL(Dados_Correlação[Ibovespa],Dados_Correlação[DÓLAR])</f>
        <v>-0.71953577309243855</v>
      </c>
      <c r="O10" s="19">
        <f>CORREL(Dados_Correlação[Ibovespa],Dados_Correlação[EURO])</f>
        <v>-0.32380855650967588</v>
      </c>
      <c r="P10" s="19">
        <f>CORREL(Dados_Correlação[Ibovespa],Dados_Correlação[OURO])</f>
        <v>-3.2026606205153643E-2</v>
      </c>
      <c r="Q10" s="19" t="s">
        <v>13</v>
      </c>
      <c r="R10" s="20"/>
    </row>
    <row r="11" spans="2:21" ht="15.75" thickBot="1" x14ac:dyDescent="0.3">
      <c r="B11" s="12">
        <v>39264</v>
      </c>
      <c r="C11" s="7">
        <v>2.3999999999999998E-3</v>
      </c>
      <c r="D11" s="7">
        <v>9.7000000000000003E-3</v>
      </c>
      <c r="E11" s="7">
        <v>-1.7736045905059949E-2</v>
      </c>
      <c r="F11" s="7">
        <v>-1.4497756299620246E-2</v>
      </c>
      <c r="G11" s="7">
        <v>-2.3584905660377409E-2</v>
      </c>
      <c r="H11" s="3">
        <v>1.15E-2</v>
      </c>
      <c r="I11" s="7">
        <v>5.9733811203821503E-3</v>
      </c>
      <c r="K11" s="24" t="str">
        <f>I4</f>
        <v>SMLL</v>
      </c>
      <c r="L11" s="21">
        <f>CORREL(Dados_Correlação[SMLL],Dados_Correlação[IPCA])</f>
        <v>-0.15316385095289314</v>
      </c>
      <c r="M11" s="21">
        <f>CORREL(Dados_Correlação[SMLL],Dados_Correlação[CDI])</f>
        <v>-0.39673130752303565</v>
      </c>
      <c r="N11" s="21">
        <f>CORREL(Dados_Correlação[SMLL],Dados_Correlação[DÓLAR])</f>
        <v>-0.72042516692908043</v>
      </c>
      <c r="O11" s="21">
        <f>CORREL(Dados_Correlação[SMLL],Dados_Correlação[EURO])</f>
        <v>-0.42922672751103341</v>
      </c>
      <c r="P11" s="21">
        <f>CORREL(Dados_Correlação[SMLL],Dados_Correlação[OURO])</f>
        <v>-0.21367430421020772</v>
      </c>
      <c r="Q11" s="21">
        <f>CORREL(Dados_Correlação[SMLL],Dados_Correlação[Ibovespa])</f>
        <v>0.88466061080679737</v>
      </c>
      <c r="R11" s="22" t="s">
        <v>13</v>
      </c>
    </row>
    <row r="12" spans="2:21" x14ac:dyDescent="0.25">
      <c r="B12" s="13">
        <v>39295</v>
      </c>
      <c r="C12" s="8">
        <v>4.6999999999999993E-3</v>
      </c>
      <c r="D12" s="8">
        <v>9.8999999999999991E-3</v>
      </c>
      <c r="E12" s="8">
        <v>3.8054968287526414E-2</v>
      </c>
      <c r="F12" s="8">
        <v>4.1136407861451563E-2</v>
      </c>
      <c r="G12" s="8">
        <v>4.4334975369457963E-2</v>
      </c>
      <c r="H12" s="4">
        <v>-1.24E-2</v>
      </c>
      <c r="I12" s="8">
        <v>-2.88823736802062E-2</v>
      </c>
    </row>
    <row r="13" spans="2:21" x14ac:dyDescent="0.25">
      <c r="B13" s="12">
        <v>39326</v>
      </c>
      <c r="C13" s="7">
        <v>1.8E-3</v>
      </c>
      <c r="D13" s="7">
        <v>8.0000000000000002E-3</v>
      </c>
      <c r="E13" s="7">
        <v>-6.1892583120204625E-2</v>
      </c>
      <c r="F13" s="7">
        <v>-1.9250897129186595E-2</v>
      </c>
      <c r="G13" s="7">
        <v>4.8867699642431317E-2</v>
      </c>
      <c r="H13" s="3">
        <v>0.1123</v>
      </c>
      <c r="I13" s="7">
        <v>4.1339842742359197E-2</v>
      </c>
    </row>
    <row r="14" spans="2:21" x14ac:dyDescent="0.25">
      <c r="B14" s="13">
        <v>39356</v>
      </c>
      <c r="C14" s="8">
        <v>3.0000000000000001E-3</v>
      </c>
      <c r="D14" s="8">
        <v>9.1999999999999998E-3</v>
      </c>
      <c r="E14" s="8">
        <v>-4.0331491712707113E-2</v>
      </c>
      <c r="F14" s="8">
        <v>-3.9219422952319283E-2</v>
      </c>
      <c r="G14" s="8">
        <v>9.1954022988505857E-2</v>
      </c>
      <c r="H14" s="4">
        <v>8.0799999999999997E-2</v>
      </c>
      <c r="I14" s="8">
        <v>4.3763073874270697E-2</v>
      </c>
      <c r="K14" s="27" t="s">
        <v>2</v>
      </c>
      <c r="L14" s="26" t="s">
        <v>19</v>
      </c>
    </row>
    <row r="15" spans="2:21" x14ac:dyDescent="0.25">
      <c r="B15" s="12">
        <v>39387</v>
      </c>
      <c r="C15" s="7">
        <v>3.8E-3</v>
      </c>
      <c r="D15" s="7">
        <v>8.3999999999999995E-3</v>
      </c>
      <c r="E15" s="7">
        <v>2.6315789473684292E-2</v>
      </c>
      <c r="F15" s="7">
        <v>3.9511266264677936E-2</v>
      </c>
      <c r="G15" s="7">
        <v>5.8947368421052637E-2</v>
      </c>
      <c r="H15" s="3">
        <v>-2.9399999999999999E-2</v>
      </c>
      <c r="I15" s="7">
        <v>-6.1046358314434897E-2</v>
      </c>
    </row>
    <row r="16" spans="2:21" x14ac:dyDescent="0.25">
      <c r="B16" s="14">
        <v>39417</v>
      </c>
      <c r="C16" s="9">
        <v>7.4000000000000003E-3</v>
      </c>
      <c r="D16" s="9">
        <v>8.3999999999999995E-3</v>
      </c>
      <c r="E16" s="9">
        <v>-9.4760312151617176E-3</v>
      </c>
      <c r="F16" s="9">
        <v>-4.5031292932377065E-3</v>
      </c>
      <c r="G16" s="9">
        <v>-4.115226337448652E-3</v>
      </c>
      <c r="H16" s="10">
        <v>8.0000000000000002E-3</v>
      </c>
      <c r="I16" s="9">
        <v>-1.3283904850169901E-2</v>
      </c>
      <c r="K16" s="27" t="s">
        <v>20</v>
      </c>
      <c r="L16" s="37" t="s">
        <v>23</v>
      </c>
      <c r="M16" s="37"/>
      <c r="N16" s="37"/>
      <c r="O16" s="37"/>
      <c r="P16" s="37"/>
      <c r="Q16" s="37"/>
      <c r="R16" s="37"/>
      <c r="S16" s="37"/>
      <c r="T16" s="37"/>
    </row>
    <row r="17" spans="2:20" x14ac:dyDescent="0.25">
      <c r="B17" s="12">
        <v>39448</v>
      </c>
      <c r="C17" s="7">
        <v>5.4000000000000003E-3</v>
      </c>
      <c r="D17" s="7">
        <v>9.1999999999999998E-3</v>
      </c>
      <c r="E17" s="7">
        <v>-5.6465273856578513E-3</v>
      </c>
      <c r="F17" s="7">
        <v>2.4917580311278886E-3</v>
      </c>
      <c r="G17" s="7">
        <v>5.070993914807298E-2</v>
      </c>
      <c r="H17" s="3">
        <v>-8.0399999999999999E-2</v>
      </c>
      <c r="I17" s="7">
        <v>-0.111392573195955</v>
      </c>
      <c r="L17" s="37"/>
      <c r="M17" s="37"/>
      <c r="N17" s="37"/>
      <c r="O17" s="37"/>
      <c r="P17" s="37"/>
      <c r="Q17" s="37"/>
      <c r="R17" s="37"/>
      <c r="S17" s="37"/>
      <c r="T17" s="37"/>
    </row>
    <row r="18" spans="2:20" x14ac:dyDescent="0.25">
      <c r="B18" s="13">
        <v>39479</v>
      </c>
      <c r="C18" s="8">
        <v>4.8999999999999998E-3</v>
      </c>
      <c r="D18" s="8">
        <v>7.9000000000000008E-3</v>
      </c>
      <c r="E18" s="8">
        <v>-3.1500572737686139E-2</v>
      </c>
      <c r="F18" s="8">
        <v>-2.2255363083629631E-2</v>
      </c>
      <c r="G18" s="8">
        <v>2.9239766081871288E-2</v>
      </c>
      <c r="H18" s="4">
        <v>9.0499999999999997E-2</v>
      </c>
      <c r="I18" s="8">
        <v>7.6990422908147504E-2</v>
      </c>
    </row>
    <row r="19" spans="2:20" ht="15.75" x14ac:dyDescent="0.25">
      <c r="B19" s="12">
        <v>39508</v>
      </c>
      <c r="C19" s="7">
        <v>4.7999999999999996E-3</v>
      </c>
      <c r="D19" s="7">
        <v>8.3999999999999995E-3</v>
      </c>
      <c r="E19" s="7">
        <v>4.8444976076555069E-2</v>
      </c>
      <c r="F19" s="7">
        <v>7.9666783996245494E-2</v>
      </c>
      <c r="G19" s="7">
        <v>-2.4621212121212044E-2</v>
      </c>
      <c r="H19" s="3">
        <v>-5.5300000000000002E-2</v>
      </c>
      <c r="I19" s="7">
        <v>-0.10439963518122</v>
      </c>
      <c r="K19" s="31" t="s">
        <v>15</v>
      </c>
    </row>
    <row r="20" spans="2:20" x14ac:dyDescent="0.25">
      <c r="B20" s="13">
        <v>39539</v>
      </c>
      <c r="C20" s="8">
        <v>5.5000000000000005E-3</v>
      </c>
      <c r="D20" s="8">
        <v>9.0000000000000011E-3</v>
      </c>
      <c r="E20" s="8">
        <v>-4.6418338108882629E-2</v>
      </c>
      <c r="F20" s="8">
        <v>-4.5388683619503101E-2</v>
      </c>
      <c r="G20" s="8">
        <v>-6.9999999999999951E-2</v>
      </c>
      <c r="H20" s="4">
        <v>7.6799999999999993E-2</v>
      </c>
      <c r="I20" s="8">
        <v>0.106917125114843</v>
      </c>
    </row>
    <row r="21" spans="2:20" ht="18.75" x14ac:dyDescent="0.3">
      <c r="B21" s="12">
        <v>39569</v>
      </c>
      <c r="C21" s="7">
        <v>7.9000000000000008E-3</v>
      </c>
      <c r="D21" s="7">
        <v>8.6999999999999994E-3</v>
      </c>
      <c r="E21" s="7">
        <v>-1.1536126290224713E-2</v>
      </c>
      <c r="F21" s="7">
        <v>-3.806018290137736E-2</v>
      </c>
      <c r="G21" s="7">
        <v>2.8697571743929506E-2</v>
      </c>
      <c r="H21" s="3">
        <v>9.8799999999999999E-2</v>
      </c>
      <c r="I21" s="7">
        <v>0.10313</v>
      </c>
      <c r="K21" s="30" t="s">
        <v>24</v>
      </c>
      <c r="L21" s="1" t="s">
        <v>11</v>
      </c>
      <c r="P21" s="29" t="s">
        <v>25</v>
      </c>
      <c r="Q21" s="1" t="s">
        <v>12</v>
      </c>
      <c r="R21" s="5"/>
    </row>
    <row r="22" spans="2:20" x14ac:dyDescent="0.25">
      <c r="B22" s="13">
        <v>39600</v>
      </c>
      <c r="C22" s="8">
        <v>7.4000000000000003E-3</v>
      </c>
      <c r="D22" s="8">
        <v>9.4999999999999998E-3</v>
      </c>
      <c r="E22" s="8">
        <v>-2.204531537048382E-2</v>
      </c>
      <c r="F22" s="8">
        <v>-1.1321499013806746E-2</v>
      </c>
      <c r="G22" s="8">
        <v>8.5836909871244149E-3</v>
      </c>
      <c r="H22" s="4">
        <v>-0.10440000000000001</v>
      </c>
      <c r="I22" s="8">
        <v>-9.4957076681805502E-2</v>
      </c>
      <c r="K22" s="28" t="s">
        <v>22</v>
      </c>
      <c r="L22" s="28" t="s">
        <v>21</v>
      </c>
      <c r="M22" s="28" t="s">
        <v>17</v>
      </c>
      <c r="N22" s="28" t="s">
        <v>16</v>
      </c>
      <c r="O22" s="5"/>
      <c r="P22" s="28" t="s">
        <v>22</v>
      </c>
      <c r="Q22" s="28" t="s">
        <v>21</v>
      </c>
      <c r="R22" s="28" t="s">
        <v>17</v>
      </c>
      <c r="S22" s="28" t="s">
        <v>16</v>
      </c>
    </row>
    <row r="23" spans="2:20" x14ac:dyDescent="0.25">
      <c r="B23" s="12">
        <v>39630</v>
      </c>
      <c r="C23" s="7">
        <v>5.3E-3</v>
      </c>
      <c r="D23" s="7">
        <v>1.06E-2</v>
      </c>
      <c r="E23" s="7">
        <v>-2.6791277258566892E-2</v>
      </c>
      <c r="F23" s="7">
        <v>-2.4899999999999999E-2</v>
      </c>
      <c r="G23" s="7">
        <v>-6.1224489795918324E-2</v>
      </c>
      <c r="H23" s="3">
        <v>-8.48E-2</v>
      </c>
      <c r="I23" s="7">
        <v>-2.7043810973777501E-2</v>
      </c>
      <c r="K23" s="32">
        <v>1</v>
      </c>
      <c r="L23" s="33">
        <f>LARGE($L$5:$R$11,K23)</f>
        <v>0.88466061080679737</v>
      </c>
      <c r="M23" s="34" t="str">
        <f>INDEX($K$5:$K$11,(ROW($K$11)*IFERROR(MATCH($L23,$L$11:$R$11,0)&gt;0,0))+(ROW($K$10)*IFERROR(MATCH($L23,$L$10:$R$10,0)&gt;0,0))+(ROW($K$9)*IFERROR(MATCH($L23,$L$9:$R$9,0)&gt;0,0))+(ROW($K$8)*IFERROR(MATCH($L23,$L$8:$R$8,0)&gt;0,0))+(ROW($K$7)*IFERROR(MATCH($L23,$L$7:$R$7,0)&gt;0,0))+(ROW($K$6)*IFERROR(MATCH($L23,$L$6:$R$6,0)&gt;0,0))+(ROW($K$5)*IFERROR(MATCH($L23,$L$5:$R$5,0)&gt;0,0))-4)</f>
        <v>SMLL</v>
      </c>
      <c r="N23" s="34" t="str">
        <f>INDEX($L$4:$R$4,0,(COLUMN($R$4)*IFERROR(MATCH($L23,$R$5:$R$11,0)&gt;0,0))+(COLUMN($Q$4)*IFERROR(MATCH($L23,$Q$5:$Q$11,0)&gt;0,0))+(COLUMN($P$4)*IFERROR(MATCH($L23,$P$5:$P$11,0)&gt;0,0))+(COLUMN($O$4)*IFERROR(MATCH($L23,$O$5:$O$11,0)&gt;0,0))+(COLUMN($N$4)*IFERROR(MATCH($L23,$N$5:$N$11,0)&gt;0,0))+(COLUMN($M$4)*IFERROR(MATCH($L23,$M$5:$M$11,0)&gt;0,0))+(COLUMN($L$4)*IFERROR(MATCH($L23,$L$5:$L$11,0)&gt;0,0))-11)</f>
        <v>Ibovespa</v>
      </c>
      <c r="O23" s="32"/>
      <c r="P23" s="32">
        <v>1</v>
      </c>
      <c r="Q23" s="33">
        <f>SMALL($L$5:$R$11,P23)</f>
        <v>-0.72042516692908043</v>
      </c>
      <c r="R23" s="34" t="str">
        <f>INDEX($K$5:$K$11,(ROW($K$11)*IFERROR(MATCH($Q23,$L$11:$R$11,0)&gt;0,0))+(ROW($K$10)*IFERROR(MATCH($Q23,$L$10:$R$10,0)&gt;0,0))+(ROW($K$9)*IFERROR(MATCH($Q23,$L$9:$R$9,0)&gt;0,0))+(ROW($K$8)*IFERROR(MATCH($Q23,$L$8:$R$8,0)&gt;0,0))+(ROW($K$7)*IFERROR(MATCH($Q23,$L$7:$R$7,0)&gt;0,0))+(ROW($K$6)*IFERROR(MATCH($Q23,$L$6:$R$6,0)&gt;0,0))+(ROW($K$5)*IFERROR(MATCH($Q23,$L$5:$R$5,0)&gt;0,0))-4)</f>
        <v>SMLL</v>
      </c>
      <c r="S23" s="34" t="str">
        <f>INDEX($L$4:$R$4,0,(COLUMN($R$4)*IFERROR(MATCH($Q23,$R$5:$R$11,0)&gt;0,0))+(COLUMN($Q$4)*IFERROR(MATCH($Q23,$Q$5:$Q$11,0)&gt;0,0))+(COLUMN($P$4)*IFERROR(MATCH($Q23,$P$5:$P$11,0)&gt;0,0))+(COLUMN($O$4)*IFERROR(MATCH($Q23,$O$5:$O$11,0)&gt;0,0))+(COLUMN($N$4)*IFERROR(MATCH($Q23,$N$5:$N$11,0)&gt;0,0))+(COLUMN($M$4)*IFERROR(MATCH($Q23,$M$5:$M$11,0)&gt;0,0))+(COLUMN($L$4)*IFERROR(MATCH($Q23,$L$5:$L$11,0)&gt;0,0))-11)</f>
        <v>DÓLAR</v>
      </c>
    </row>
    <row r="24" spans="2:20" x14ac:dyDescent="0.25">
      <c r="B24" s="13">
        <v>39661</v>
      </c>
      <c r="C24" s="8">
        <v>2.8000000000000004E-3</v>
      </c>
      <c r="D24" s="8">
        <v>1.01E-2</v>
      </c>
      <c r="E24" s="8">
        <v>4.606525911708248E-2</v>
      </c>
      <c r="F24" s="8">
        <v>-1.8599999999999998E-2</v>
      </c>
      <c r="G24" s="8">
        <v>-5.3763440860215006E-2</v>
      </c>
      <c r="H24" s="4">
        <v>-6.4299999999999996E-2</v>
      </c>
      <c r="I24" s="8">
        <v>-0.10488171467396901</v>
      </c>
      <c r="K24" s="32">
        <v>2</v>
      </c>
      <c r="L24" s="33">
        <f>LARGE($L$5:$R$11,K24)</f>
        <v>0.63407257588210075</v>
      </c>
      <c r="M24" s="34" t="str">
        <f>INDEX($K$5:$K$11,(ROW($K$11)*IFERROR(MATCH($L24,$L$11:$R$11,0)&gt;0,0))+(ROW($K$10)*IFERROR(MATCH($L24,$L$10:$R$10,0)&gt;0,0))+(ROW($K$9)*IFERROR(MATCH($L24,$L$9:$R$9,0)&gt;0,0))+(ROW($K$8)*IFERROR(MATCH($L24,$L$8:$R$8,0)&gt;0,0))+(ROW($K$7)*IFERROR(MATCH($L24,$L$7:$R$7,0)&gt;0,0))+(ROW($K$6)*IFERROR(MATCH($L24,$L$6:$R$6,0)&gt;0,0))+(ROW($K$5)*IFERROR(MATCH($L24,$L$5:$R$5,0)&gt;0,0))-4)</f>
        <v>EURO</v>
      </c>
      <c r="N24" s="34" t="str">
        <f>INDEX($L$4:$R$4,0,(COLUMN($R$4)*IFERROR(MATCH($L24,$R$5:$R$11,0)&gt;0,0))+(COLUMN($Q$4)*IFERROR(MATCH($L24,$Q$5:$Q$11,0)&gt;0,0))+(COLUMN($P$4)*IFERROR(MATCH($L24,$P$5:$P$11,0)&gt;0,0))+(COLUMN($O$4)*IFERROR(MATCH($L24,$O$5:$O$11,0)&gt;0,0))+(COLUMN($N$4)*IFERROR(MATCH($L24,$N$5:$N$11,0)&gt;0,0))+(COLUMN($M$4)*IFERROR(MATCH($L24,$M$5:$M$11,0)&gt;0,0))+(COLUMN($L$4)*IFERROR(MATCH($L24,$L$5:$L$11,0)&gt;0,0))-11)</f>
        <v>DÓLAR</v>
      </c>
      <c r="O24" s="32"/>
      <c r="P24" s="32">
        <v>2</v>
      </c>
      <c r="Q24" s="33">
        <f t="shared" ref="Q24:Q27" si="1">SMALL($L$5:$R$11,P24)</f>
        <v>-0.71953577309243855</v>
      </c>
      <c r="R24" s="34" t="str">
        <f>INDEX($K$5:$K$11,(ROW($K$11)*IFERROR(MATCH($Q24,$L$11:$R$11,0)&gt;0,0))+(ROW($K$10)*IFERROR(MATCH($Q24,$L$10:$R$10,0)&gt;0,0))+(ROW($K$9)*IFERROR(MATCH($Q24,$L$9:$R$9,0)&gt;0,0))+(ROW($K$8)*IFERROR(MATCH($Q24,$L$8:$R$8,0)&gt;0,0))+(ROW($K$7)*IFERROR(MATCH($Q24,$L$7:$R$7,0)&gt;0,0))+(ROW($K$6)*IFERROR(MATCH($Q24,$L$6:$R$6,0)&gt;0,0))+(ROW($K$5)*IFERROR(MATCH($Q24,$L$5:$R$5,0)&gt;0,0))-4)</f>
        <v>Ibovespa</v>
      </c>
      <c r="S24" s="34" t="str">
        <f>INDEX($L$4:$R$4,0,(COLUMN($R$4)*IFERROR(MATCH($Q24,$R$5:$R$11,0)&gt;0,0))+(COLUMN($Q$4)*IFERROR(MATCH($Q24,$Q$5:$Q$11,0)&gt;0,0))+(COLUMN($P$4)*IFERROR(MATCH($Q24,$P$5:$P$11,0)&gt;0,0))+(COLUMN($O$4)*IFERROR(MATCH($Q24,$O$5:$O$11,0)&gt;0,0))+(COLUMN($N$4)*IFERROR(MATCH($Q24,$N$5:$N$11,0)&gt;0,0))+(COLUMN($M$4)*IFERROR(MATCH($Q24,$M$5:$M$11,0)&gt;0,0))+(COLUMN($L$4)*IFERROR(MATCH($Q24,$L$5:$L$11,0)&gt;0,0))-11)</f>
        <v>DÓLAR</v>
      </c>
    </row>
    <row r="25" spans="2:20" x14ac:dyDescent="0.25">
      <c r="B25" s="12">
        <v>39692</v>
      </c>
      <c r="C25" s="7">
        <v>2.5999999999999999E-3</v>
      </c>
      <c r="D25" s="7">
        <v>1.1000000000000001E-2</v>
      </c>
      <c r="E25" s="7">
        <v>0.15674362089914951</v>
      </c>
      <c r="F25" s="7">
        <v>0.12280000000000001</v>
      </c>
      <c r="G25" s="7">
        <v>0.19777777777777783</v>
      </c>
      <c r="H25" s="3">
        <v>-0.1103</v>
      </c>
      <c r="I25" s="7">
        <v>-0.232340425531915</v>
      </c>
      <c r="K25" s="32">
        <v>3</v>
      </c>
      <c r="L25" s="33">
        <f t="shared" ref="L25:L27" si="2">LARGE($L$5:$R$11,K25)</f>
        <v>0.48664529168156051</v>
      </c>
      <c r="M25" s="34" t="str">
        <f>INDEX($K$5:$K$11,(ROW($K$11)*IFERROR(MATCH($L25,$L$11:$R$11,0)&gt;0,0))+(ROW($K$10)*IFERROR(MATCH($L25,$L$10:$R$10,0)&gt;0,0))+(ROW($K$9)*IFERROR(MATCH($L25,$L$9:$R$9,0)&gt;0,0))+(ROW($K$8)*IFERROR(MATCH($L25,$L$8:$R$8,0)&gt;0,0))+(ROW($K$7)*IFERROR(MATCH($L25,$L$7:$R$7,0)&gt;0,0))+(ROW($K$6)*IFERROR(MATCH($L25,$L$6:$R$6,0)&gt;0,0))+(ROW($K$5)*IFERROR(MATCH($L25,$L$5:$R$5,0)&gt;0,0))-4)</f>
        <v>OURO</v>
      </c>
      <c r="N25" s="34" t="str">
        <f>INDEX($L$4:$R$4,0,(COLUMN($R$4)*IFERROR(MATCH($L25,$R$5:$R$11,0)&gt;0,0))+(COLUMN($Q$4)*IFERROR(MATCH($L25,$Q$5:$Q$11,0)&gt;0,0))+(COLUMN($P$4)*IFERROR(MATCH($L25,$P$5:$P$11,0)&gt;0,0))+(COLUMN($O$4)*IFERROR(MATCH($L25,$O$5:$O$11,0)&gt;0,0))+(COLUMN($N$4)*IFERROR(MATCH($L25,$N$5:$N$11,0)&gt;0,0))+(COLUMN($M$4)*IFERROR(MATCH($L25,$M$5:$M$11,0)&gt;0,0))+(COLUMN($L$4)*IFERROR(MATCH($L25,$L$5:$L$11,0)&gt;0,0))-11)</f>
        <v>EURO</v>
      </c>
      <c r="O25" s="32"/>
      <c r="P25" s="32">
        <v>3</v>
      </c>
      <c r="Q25" s="33">
        <f t="shared" si="1"/>
        <v>-0.42922672751103341</v>
      </c>
      <c r="R25" s="34" t="str">
        <f>INDEX($K$5:$K$11,(ROW($K$11)*IFERROR(MATCH($Q25,$L$11:$R$11,0)&gt;0,0))+(ROW($K$10)*IFERROR(MATCH($Q25,$L$10:$R$10,0)&gt;0,0))+(ROW($K$9)*IFERROR(MATCH($Q25,$L$9:$R$9,0)&gt;0,0))+(ROW($K$8)*IFERROR(MATCH($Q25,$L$8:$R$8,0)&gt;0,0))+(ROW($K$7)*IFERROR(MATCH($Q25,$L$7:$R$7,0)&gt;0,0))+(ROW($K$6)*IFERROR(MATCH($Q25,$L$6:$R$6,0)&gt;0,0))+(ROW($K$5)*IFERROR(MATCH($Q25,$L$5:$R$5,0)&gt;0,0))-4)</f>
        <v>SMLL</v>
      </c>
      <c r="S25" s="34" t="str">
        <f>INDEX($L$4:$R$4,0,(COLUMN($R$4)*IFERROR(MATCH($Q25,$R$5:$R$11,0)&gt;0,0))+(COLUMN($Q$4)*IFERROR(MATCH($Q25,$Q$5:$Q$11,0)&gt;0,0))+(COLUMN($P$4)*IFERROR(MATCH($Q25,$P$5:$P$11,0)&gt;0,0))+(COLUMN($O$4)*IFERROR(MATCH($Q25,$O$5:$O$11,0)&gt;0,0))+(COLUMN($N$4)*IFERROR(MATCH($Q25,$N$5:$N$11,0)&gt;0,0))+(COLUMN($M$4)*IFERROR(MATCH($Q25,$M$5:$M$11,0)&gt;0,0))+(COLUMN($L$4)*IFERROR(MATCH($Q25,$L$5:$L$11,0)&gt;0,0))-11)</f>
        <v>EURO</v>
      </c>
    </row>
    <row r="26" spans="2:20" x14ac:dyDescent="0.25">
      <c r="B26" s="13">
        <v>39722</v>
      </c>
      <c r="C26" s="8">
        <v>4.5000000000000005E-3</v>
      </c>
      <c r="D26" s="8">
        <v>1.1699999999999999E-2</v>
      </c>
      <c r="E26" s="8">
        <v>0.12207792207792223</v>
      </c>
      <c r="F26" s="8">
        <v>-4.0000000000000002E-4</v>
      </c>
      <c r="G26" s="8">
        <v>-7.4410163339382995E-2</v>
      </c>
      <c r="H26" s="4">
        <v>-0.248</v>
      </c>
      <c r="I26" s="8">
        <v>-0.269311440043147</v>
      </c>
      <c r="K26" s="32">
        <v>4</v>
      </c>
      <c r="L26" s="33">
        <f t="shared" si="2"/>
        <v>0.33228539665549234</v>
      </c>
      <c r="M26" s="34" t="str">
        <f>INDEX($K$5:$K$11,(ROW($K$11)*IFERROR(MATCH($L26,$L$11:$R$11,0)&gt;0,0))+(ROW($K$10)*IFERROR(MATCH($L26,$L$10:$R$10,0)&gt;0,0))+(ROW($K$9)*IFERROR(MATCH($L26,$L$9:$R$9,0)&gt;0,0))+(ROW($K$8)*IFERROR(MATCH($L26,$L$8:$R$8,0)&gt;0,0))+(ROW($K$7)*IFERROR(MATCH($L26,$L$7:$R$7,0)&gt;0,0))+(ROW($K$6)*IFERROR(MATCH($L26,$L$6:$R$6,0)&gt;0,0))+(ROW($K$5)*IFERROR(MATCH($L26,$L$5:$R$5,0)&gt;0,0))-4)</f>
        <v>OURO</v>
      </c>
      <c r="N26" s="34" t="str">
        <f>INDEX($L$4:$R$4,0,(COLUMN($R$4)*IFERROR(MATCH($L26,$R$5:$R$11,0)&gt;0,0))+(COLUMN($Q$4)*IFERROR(MATCH($L26,$Q$5:$Q$11,0)&gt;0,0))+(COLUMN($P$4)*IFERROR(MATCH($L26,$P$5:$P$11,0)&gt;0,0))+(COLUMN($O$4)*IFERROR(MATCH($L26,$O$5:$O$11,0)&gt;0,0))+(COLUMN($N$4)*IFERROR(MATCH($L26,$N$5:$N$11,0)&gt;0,0))+(COLUMN($M$4)*IFERROR(MATCH($L26,$M$5:$M$11,0)&gt;0,0))+(COLUMN($L$4)*IFERROR(MATCH($L26,$L$5:$L$11,0)&gt;0,0))-11)</f>
        <v>DÓLAR</v>
      </c>
      <c r="O26" s="32"/>
      <c r="P26" s="32">
        <v>4</v>
      </c>
      <c r="Q26" s="33">
        <f t="shared" si="1"/>
        <v>-0.39673130752303565</v>
      </c>
      <c r="R26" s="34" t="str">
        <f>INDEX($K$5:$K$11,(ROW($K$11)*IFERROR(MATCH($Q26,$L$11:$R$11,0)&gt;0,0))+(ROW($K$10)*IFERROR(MATCH($Q26,$L$10:$R$10,0)&gt;0,0))+(ROW($K$9)*IFERROR(MATCH($Q26,$L$9:$R$9,0)&gt;0,0))+(ROW($K$8)*IFERROR(MATCH($Q26,$L$8:$R$8,0)&gt;0,0))+(ROW($K$7)*IFERROR(MATCH($Q26,$L$7:$R$7,0)&gt;0,0))+(ROW($K$6)*IFERROR(MATCH($Q26,$L$6:$R$6,0)&gt;0,0))+(ROW($K$5)*IFERROR(MATCH($Q26,$L$5:$R$5,0)&gt;0,0))-4)</f>
        <v>SMLL</v>
      </c>
      <c r="S26" s="34" t="str">
        <f>INDEX($L$4:$R$4,0,(COLUMN($R$4)*IFERROR(MATCH($Q26,$R$5:$R$11,0)&gt;0,0))+(COLUMN($Q$4)*IFERROR(MATCH($Q26,$Q$5:$Q$11,0)&gt;0,0))+(COLUMN($P$4)*IFERROR(MATCH($Q26,$P$5:$P$11,0)&gt;0,0))+(COLUMN($O$4)*IFERROR(MATCH($Q26,$O$5:$O$11,0)&gt;0,0))+(COLUMN($N$4)*IFERROR(MATCH($Q26,$N$5:$N$11,0)&gt;0,0))+(COLUMN($M$4)*IFERROR(MATCH($Q26,$M$5:$M$11,0)&gt;0,0))+(COLUMN($L$4)*IFERROR(MATCH($Q26,$L$5:$L$11,0)&gt;0,0))-11)</f>
        <v>CDI</v>
      </c>
    </row>
    <row r="27" spans="2:20" x14ac:dyDescent="0.25">
      <c r="B27" s="12">
        <v>39753</v>
      </c>
      <c r="C27" s="7">
        <v>3.5999999999999999E-3</v>
      </c>
      <c r="D27" s="7">
        <v>0.01</v>
      </c>
      <c r="E27" s="7">
        <v>6.780442804428044E-2</v>
      </c>
      <c r="F27" s="7">
        <v>0.1004</v>
      </c>
      <c r="G27" s="7">
        <v>0.10305343511450382</v>
      </c>
      <c r="H27" s="3">
        <v>-1.77E-2</v>
      </c>
      <c r="I27" s="7">
        <v>-2.50963667678176E-2</v>
      </c>
      <c r="K27" s="32">
        <v>5</v>
      </c>
      <c r="L27" s="33">
        <f t="shared" si="2"/>
        <v>0.30325252063633845</v>
      </c>
      <c r="M27" s="34" t="str">
        <f>INDEX($K$5:$K$11,(ROW($K$11)*IFERROR(MATCH($L27,$L$11:$R$11,0)&gt;0,0))+(ROW($K$10)*IFERROR(MATCH($L27,$L$10:$R$10,0)&gt;0,0))+(ROW($K$9)*IFERROR(MATCH($L27,$L$9:$R$9,0)&gt;0,0))+(ROW($K$8)*IFERROR(MATCH($L27,$L$8:$R$8,0)&gt;0,0))+(ROW($K$7)*IFERROR(MATCH($L27,$L$7:$R$7,0)&gt;0,0))+(ROW($K$6)*IFERROR(MATCH($L27,$L$6:$R$6,0)&gt;0,0))+(ROW($K$5)*IFERROR(MATCH($L27,$L$5:$R$5,0)&gt;0,0))-4)</f>
        <v>DÓLAR</v>
      </c>
      <c r="N27" s="34" t="str">
        <f>INDEX($L$4:$R$4,0,(COLUMN($R$4)*IFERROR(MATCH($L27,$R$5:$R$11,0)&gt;0,0))+(COLUMN($Q$4)*IFERROR(MATCH($L27,$Q$5:$Q$11,0)&gt;0,0))+(COLUMN($P$4)*IFERROR(MATCH($L27,$P$5:$P$11,0)&gt;0,0))+(COLUMN($O$4)*IFERROR(MATCH($L27,$O$5:$O$11,0)&gt;0,0))+(COLUMN($N$4)*IFERROR(MATCH($L27,$N$5:$N$11,0)&gt;0,0))+(COLUMN($M$4)*IFERROR(MATCH($L27,$M$5:$M$11,0)&gt;0,0))+(COLUMN($L$4)*IFERROR(MATCH($L27,$L$5:$L$11,0)&gt;0,0))-11)</f>
        <v>CDI</v>
      </c>
      <c r="O27" s="32"/>
      <c r="P27" s="32">
        <v>5</v>
      </c>
      <c r="Q27" s="33">
        <f t="shared" si="1"/>
        <v>-0.32380855650967588</v>
      </c>
      <c r="R27" s="34" t="str">
        <f>INDEX($K$5:$K$11,(ROW($K$11)*IFERROR(MATCH($Q27,$L$11:$R$11,0)&gt;0,0))+(ROW($K$10)*IFERROR(MATCH($Q27,$L$10:$R$10,0)&gt;0,0))+(ROW($K$9)*IFERROR(MATCH($Q27,$L$9:$R$9,0)&gt;0,0))+(ROW($K$8)*IFERROR(MATCH($Q27,$L$8:$R$8,0)&gt;0,0))+(ROW($K$7)*IFERROR(MATCH($Q27,$L$7:$R$7,0)&gt;0,0))+(ROW($K$6)*IFERROR(MATCH($Q27,$L$6:$R$6,0)&gt;0,0))+(ROW($K$5)*IFERROR(MATCH($Q27,$L$5:$R$5,0)&gt;0,0))-4)</f>
        <v>Ibovespa</v>
      </c>
      <c r="S27" s="34" t="str">
        <f>INDEX($L$4:$R$4,0,(COLUMN($R$4)*IFERROR(MATCH($Q27,$R$5:$R$11,0)&gt;0,0))+(COLUMN($Q$4)*IFERROR(MATCH($Q27,$Q$5:$Q$11,0)&gt;0,0))+(COLUMN($P$4)*IFERROR(MATCH($Q27,$P$5:$P$11,0)&gt;0,0))+(COLUMN($O$4)*IFERROR(MATCH($Q27,$O$5:$O$11,0)&gt;0,0))+(COLUMN($N$4)*IFERROR(MATCH($Q27,$N$5:$N$11,0)&gt;0,0))+(COLUMN($M$4)*IFERROR(MATCH($Q27,$M$5:$M$11,0)&gt;0,0))+(COLUMN($L$4)*IFERROR(MATCH($Q27,$L$5:$L$11,0)&gt;0,0))-11)</f>
        <v>EURO</v>
      </c>
    </row>
    <row r="28" spans="2:20" x14ac:dyDescent="0.25">
      <c r="B28" s="14">
        <v>39783</v>
      </c>
      <c r="C28" s="9">
        <v>2.8000000000000004E-3</v>
      </c>
      <c r="D28" s="9">
        <v>1.11E-2</v>
      </c>
      <c r="E28" s="9">
        <v>6.0344827586207295E-3</v>
      </c>
      <c r="F28" s="9">
        <v>9.3100000000000002E-2</v>
      </c>
      <c r="G28" s="9">
        <v>0.10258620689655173</v>
      </c>
      <c r="H28" s="10">
        <v>2.6100000000000002E-2</v>
      </c>
      <c r="I28" s="9">
        <v>3.8487423235467298E-2</v>
      </c>
    </row>
    <row r="29" spans="2:20" x14ac:dyDescent="0.25">
      <c r="B29" s="12">
        <v>39814</v>
      </c>
      <c r="C29" s="7">
        <v>4.7999999999999996E-3</v>
      </c>
      <c r="D29" s="7">
        <v>1.0426999999999999E-2</v>
      </c>
      <c r="E29" s="7">
        <v>-6.4294899271325479E-3</v>
      </c>
      <c r="F29" s="7">
        <v>-8.3099999999999993E-2</v>
      </c>
      <c r="G29" s="7">
        <v>6.315955268546225E-2</v>
      </c>
      <c r="H29" s="3">
        <v>4.6600000000000003E-2</v>
      </c>
      <c r="I29" s="7">
        <v>3.0377901089551101E-4</v>
      </c>
    </row>
    <row r="30" spans="2:20" x14ac:dyDescent="0.25">
      <c r="B30" s="13">
        <v>39845</v>
      </c>
      <c r="C30" s="8">
        <v>5.5000000000000005E-3</v>
      </c>
      <c r="D30" s="8">
        <v>8.5269999999999999E-3</v>
      </c>
      <c r="E30" s="8">
        <v>2.068074105988793E-2</v>
      </c>
      <c r="F30" s="8">
        <v>1.7500000000000002E-2</v>
      </c>
      <c r="G30" s="8">
        <v>4.0118870728083289E-2</v>
      </c>
      <c r="H30" s="4">
        <v>-2.8400000000000002E-2</v>
      </c>
      <c r="I30" s="8">
        <v>-4.9824873969995798E-2</v>
      </c>
    </row>
    <row r="31" spans="2:20" x14ac:dyDescent="0.25">
      <c r="B31" s="12">
        <v>39873</v>
      </c>
      <c r="C31" s="7">
        <v>2E-3</v>
      </c>
      <c r="D31" s="7">
        <v>9.665E-3</v>
      </c>
      <c r="E31" s="7">
        <v>-5.0778050778050865E-2</v>
      </c>
      <c r="F31" s="7">
        <v>1.89E-2</v>
      </c>
      <c r="G31" s="7">
        <v>-6.6852367688022274E-2</v>
      </c>
      <c r="H31" s="3">
        <v>7.1800000000000003E-2</v>
      </c>
      <c r="I31" s="7">
        <v>2.65064348418989E-2</v>
      </c>
    </row>
    <row r="32" spans="2:20" x14ac:dyDescent="0.25">
      <c r="B32" s="13">
        <v>39904</v>
      </c>
      <c r="C32" s="8">
        <v>4.7999999999999996E-3</v>
      </c>
      <c r="D32" s="8">
        <v>8.3560000000000006E-3</v>
      </c>
      <c r="E32" s="8">
        <v>-4.3421052631578805E-2</v>
      </c>
      <c r="F32" s="8">
        <v>-6.3600000000000004E-2</v>
      </c>
      <c r="G32" s="8">
        <v>-6.381381381381368E-2</v>
      </c>
      <c r="H32" s="4">
        <v>0.1555</v>
      </c>
      <c r="I32" s="8">
        <v>0.324642975755563</v>
      </c>
    </row>
    <row r="33" spans="2:9" x14ac:dyDescent="0.25">
      <c r="B33" s="12">
        <v>39934</v>
      </c>
      <c r="C33" s="7">
        <v>4.6999999999999993E-3</v>
      </c>
      <c r="D33" s="7">
        <v>7.6639999999999998E-3</v>
      </c>
      <c r="E33" s="7">
        <v>-7.5117370892018753E-2</v>
      </c>
      <c r="F33" s="7">
        <v>-3.2300000000000002E-2</v>
      </c>
      <c r="G33" s="7">
        <v>2.4390243902439046E-2</v>
      </c>
      <c r="H33" s="3">
        <v>0.1249</v>
      </c>
      <c r="I33" s="7">
        <v>0.12225774100539</v>
      </c>
    </row>
    <row r="34" spans="2:9" x14ac:dyDescent="0.25">
      <c r="B34" s="13">
        <v>39965</v>
      </c>
      <c r="C34" s="8">
        <v>3.5999999999999999E-3</v>
      </c>
      <c r="D34" s="8">
        <v>7.5139999999999998E-3</v>
      </c>
      <c r="E34" s="8">
        <v>5.6323604710701858E-3</v>
      </c>
      <c r="F34" s="8">
        <v>-1.77E-2</v>
      </c>
      <c r="G34" s="8">
        <v>-2.7552674230145957E-2</v>
      </c>
      <c r="H34" s="4">
        <v>-3.2599999999999997E-2</v>
      </c>
      <c r="I34" s="8">
        <v>6.0040771872993401E-3</v>
      </c>
    </row>
    <row r="35" spans="2:9" x14ac:dyDescent="0.25">
      <c r="B35" s="12">
        <v>39995</v>
      </c>
      <c r="C35" s="7">
        <v>2.3999999999999998E-3</v>
      </c>
      <c r="D35" s="7">
        <v>7.8399999999999997E-3</v>
      </c>
      <c r="E35" s="7">
        <v>-3.61E-2</v>
      </c>
      <c r="F35" s="7">
        <v>-2.5000000000000001E-2</v>
      </c>
      <c r="G35" s="7">
        <v>-2.3900000000000001E-2</v>
      </c>
      <c r="H35" s="3">
        <v>6.4100000000000004E-2</v>
      </c>
      <c r="I35" s="7">
        <v>0.159338218965134</v>
      </c>
    </row>
    <row r="36" spans="2:9" x14ac:dyDescent="0.25">
      <c r="B36" s="13">
        <v>40026</v>
      </c>
      <c r="C36" s="8">
        <v>1.5E-3</v>
      </c>
      <c r="D36" s="8">
        <v>6.914E-3</v>
      </c>
      <c r="E36" s="8">
        <v>7.4000000000000003E-3</v>
      </c>
      <c r="F36" s="8">
        <v>1.11E-2</v>
      </c>
      <c r="G36" s="8">
        <v>0</v>
      </c>
      <c r="H36" s="4">
        <v>3.15E-2</v>
      </c>
      <c r="I36" s="8">
        <v>7.9817546212048701E-2</v>
      </c>
    </row>
    <row r="37" spans="2:9" x14ac:dyDescent="0.25">
      <c r="B37" s="12">
        <v>40057</v>
      </c>
      <c r="C37" s="7">
        <v>2.3999999999999998E-3</v>
      </c>
      <c r="D37" s="7">
        <v>6.9150000000000001E-3</v>
      </c>
      <c r="E37" s="7">
        <v>-5.74E-2</v>
      </c>
      <c r="F37" s="7">
        <v>-3.6999999999999998E-2</v>
      </c>
      <c r="G37" s="7">
        <v>9.7000000000000003E-3</v>
      </c>
      <c r="H37" s="3">
        <v>8.8999999999999996E-2</v>
      </c>
      <c r="I37" s="7">
        <v>7.3700000000000002E-2</v>
      </c>
    </row>
    <row r="38" spans="2:9" x14ac:dyDescent="0.25">
      <c r="B38" s="13">
        <v>40087</v>
      </c>
      <c r="C38" s="8">
        <v>2.8000000000000004E-3</v>
      </c>
      <c r="D38" s="8">
        <v>6.9120000000000006E-3</v>
      </c>
      <c r="E38" s="8">
        <v>-1.9199999999999998E-2</v>
      </c>
      <c r="F38" s="8">
        <v>-1.18E-2</v>
      </c>
      <c r="G38" s="8">
        <v>2.6100000000000002E-2</v>
      </c>
      <c r="H38" s="4">
        <v>5.0000000000000001E-4</v>
      </c>
      <c r="I38" s="8">
        <v>2.6200000000000001E-2</v>
      </c>
    </row>
    <row r="39" spans="2:9" x14ac:dyDescent="0.25">
      <c r="B39" s="12">
        <v>40118</v>
      </c>
      <c r="C39" s="7">
        <v>4.0999999999999995E-3</v>
      </c>
      <c r="D39" s="7">
        <v>6.5900000000000004E-3</v>
      </c>
      <c r="E39" s="7">
        <v>3.7000000000000002E-3</v>
      </c>
      <c r="F39" s="7">
        <v>2.1700000000000001E-2</v>
      </c>
      <c r="G39" s="7">
        <v>0.15029999999999999</v>
      </c>
      <c r="H39" s="3">
        <v>8.9399999999999993E-2</v>
      </c>
      <c r="I39" s="7">
        <v>0.12590000000000001</v>
      </c>
    </row>
    <row r="40" spans="2:9" x14ac:dyDescent="0.25">
      <c r="B40" s="14">
        <v>40148</v>
      </c>
      <c r="C40" s="9">
        <v>3.7000000000000002E-3</v>
      </c>
      <c r="D40" s="9">
        <v>7.2379999999999996E-3</v>
      </c>
      <c r="E40" s="9">
        <v>1.0500000000000001E-2</v>
      </c>
      <c r="F40" s="9">
        <v>-4.53E-2</v>
      </c>
      <c r="G40" s="9">
        <v>-0.1053</v>
      </c>
      <c r="H40" s="10">
        <v>2.3E-2</v>
      </c>
      <c r="I40" s="9">
        <v>4.82E-2</v>
      </c>
    </row>
    <row r="41" spans="2:9" x14ac:dyDescent="0.25">
      <c r="B41" s="12">
        <v>40179</v>
      </c>
      <c r="C41" s="7">
        <v>7.4999999999999997E-3</v>
      </c>
      <c r="D41" s="7">
        <v>6.6E-3</v>
      </c>
      <c r="E41" s="7">
        <v>7.6700000000000004E-2</v>
      </c>
      <c r="F41" s="7">
        <v>3.818834796488435E-2</v>
      </c>
      <c r="G41" s="7">
        <v>6.4500000000000002E-2</v>
      </c>
      <c r="H41" s="3">
        <v>-4.6500000000000007E-2</v>
      </c>
      <c r="I41" s="7">
        <v>-3.6700000000000003E-2</v>
      </c>
    </row>
    <row r="42" spans="2:9" x14ac:dyDescent="0.25">
      <c r="B42" s="13">
        <v>40210</v>
      </c>
      <c r="C42" s="8">
        <v>7.7999999999999996E-3</v>
      </c>
      <c r="D42" s="8">
        <v>5.8999999999999999E-3</v>
      </c>
      <c r="E42" s="8">
        <v>-3.4000000000000002E-2</v>
      </c>
      <c r="F42" s="8">
        <v>-5.2400000000000002E-2</v>
      </c>
      <c r="G42" s="8">
        <v>-1.2E-2</v>
      </c>
      <c r="H42" s="4">
        <v>1.6799999999999999E-2</v>
      </c>
      <c r="I42" s="8">
        <v>3.15E-2</v>
      </c>
    </row>
    <row r="43" spans="2:9" x14ac:dyDescent="0.25">
      <c r="B43" s="12">
        <v>40238</v>
      </c>
      <c r="C43" s="7">
        <v>5.1999999999999998E-3</v>
      </c>
      <c r="D43" s="7">
        <v>7.6E-3</v>
      </c>
      <c r="E43" s="7">
        <v>-1.66E-2</v>
      </c>
      <c r="F43" s="7">
        <v>-2.4E-2</v>
      </c>
      <c r="G43" s="7">
        <v>4.2799999999999998E-2</v>
      </c>
      <c r="H43" s="3">
        <v>5.28E-2</v>
      </c>
      <c r="I43" s="7">
        <v>-1.3599999999999999E-2</v>
      </c>
    </row>
    <row r="44" spans="2:9" x14ac:dyDescent="0.25">
      <c r="B44" s="13">
        <v>40269</v>
      </c>
      <c r="C44" s="8">
        <v>5.7000000000000002E-3</v>
      </c>
      <c r="D44" s="8">
        <v>6.3E-3</v>
      </c>
      <c r="E44" s="8">
        <v>-2.8299999999999999E-2</v>
      </c>
      <c r="F44" s="8">
        <v>-4.3099999999999999E-2</v>
      </c>
      <c r="G44" s="8">
        <v>1.47E-2</v>
      </c>
      <c r="H44" s="4">
        <v>-4.0399999999999998E-2</v>
      </c>
      <c r="I44" s="8">
        <v>-4.7999999999999996E-3</v>
      </c>
    </row>
    <row r="45" spans="2:9" x14ac:dyDescent="0.25">
      <c r="B45" s="12">
        <v>40299</v>
      </c>
      <c r="C45" s="7">
        <v>4.3E-3</v>
      </c>
      <c r="D45" s="7">
        <v>7.4999999999999997E-3</v>
      </c>
      <c r="E45" s="7">
        <v>4.9799999999999997E-2</v>
      </c>
      <c r="F45" s="7">
        <v>-2.93E-2</v>
      </c>
      <c r="G45" s="7">
        <v>4.3499999999999997E-2</v>
      </c>
      <c r="H45" s="3">
        <v>-6.6400000000000001E-2</v>
      </c>
      <c r="I45" s="7">
        <v>-3.5400000000000001E-2</v>
      </c>
    </row>
    <row r="46" spans="2:9" x14ac:dyDescent="0.25">
      <c r="B46" s="13">
        <v>40330</v>
      </c>
      <c r="C46" s="8">
        <v>0</v>
      </c>
      <c r="D46" s="8">
        <v>7.9000000000000008E-3</v>
      </c>
      <c r="E46" s="8">
        <v>-8.3999999999999995E-3</v>
      </c>
      <c r="F46" s="8">
        <v>-1.44E-2</v>
      </c>
      <c r="G46" s="8">
        <v>2.92E-2</v>
      </c>
      <c r="H46" s="4">
        <v>-3.3500000000000002E-2</v>
      </c>
      <c r="I46" s="8">
        <v>3.0200000000000001E-2</v>
      </c>
    </row>
    <row r="47" spans="2:9" x14ac:dyDescent="0.25">
      <c r="B47" s="12">
        <v>40360</v>
      </c>
      <c r="C47" s="7">
        <v>1E-4</v>
      </c>
      <c r="D47" s="7">
        <v>8.6E-3</v>
      </c>
      <c r="E47" s="7">
        <v>-2.46E-2</v>
      </c>
      <c r="F47" s="7">
        <v>4.0800000000000003E-2</v>
      </c>
      <c r="G47" s="7">
        <v>-3.9100000000000003E-2</v>
      </c>
      <c r="H47" s="3">
        <v>0.108</v>
      </c>
      <c r="I47" s="7">
        <v>0.1183</v>
      </c>
    </row>
    <row r="48" spans="2:9" x14ac:dyDescent="0.25">
      <c r="B48" s="13"/>
      <c r="C48" s="8"/>
      <c r="D48" s="8"/>
      <c r="E48" s="8"/>
      <c r="F48" s="8"/>
      <c r="G48" s="8"/>
      <c r="H48" s="4"/>
      <c r="I48" s="8"/>
    </row>
    <row r="49" spans="2:9" x14ac:dyDescent="0.25">
      <c r="B49" s="12"/>
      <c r="C49" s="7"/>
      <c r="D49" s="7"/>
      <c r="E49" s="7"/>
      <c r="F49" s="7"/>
      <c r="G49" s="7"/>
      <c r="H49" s="3"/>
      <c r="I49" s="7"/>
    </row>
    <row r="50" spans="2:9" x14ac:dyDescent="0.25">
      <c r="B50" s="13"/>
      <c r="C50" s="8"/>
      <c r="D50" s="8"/>
      <c r="E50" s="8"/>
      <c r="F50" s="8"/>
      <c r="G50" s="8"/>
      <c r="H50" s="4"/>
      <c r="I50" s="8"/>
    </row>
    <row r="51" spans="2:9" x14ac:dyDescent="0.25">
      <c r="B51" s="12"/>
      <c r="C51" s="7"/>
      <c r="D51" s="7"/>
      <c r="E51" s="7"/>
      <c r="F51" s="7"/>
      <c r="G51" s="7"/>
      <c r="H51" s="3"/>
      <c r="I51" s="7"/>
    </row>
    <row r="52" spans="2:9" x14ac:dyDescent="0.25">
      <c r="B52" s="14"/>
      <c r="C52" s="9"/>
      <c r="D52" s="9"/>
      <c r="E52" s="9"/>
      <c r="F52" s="9"/>
      <c r="G52" s="9"/>
      <c r="H52" s="10"/>
      <c r="I52" s="9"/>
    </row>
  </sheetData>
  <mergeCells count="1">
    <mergeCell ref="L16:T17"/>
  </mergeCells>
  <conditionalFormatting sqref="L5:R11">
    <cfRule type="cellIs" dxfId="12" priority="1" operator="equal">
      <formula>1</formula>
    </cfRule>
    <cfRule type="cellIs" dxfId="11" priority="2" operator="lessThan">
      <formula>0</formula>
    </cfRule>
  </conditionalFormatting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Matriz de Correlação</vt:lpstr>
      <vt:lpstr>Correlação com tabela</vt:lpstr>
    </vt:vector>
  </TitlesOfParts>
  <Company>ePlanilhas.com.br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ePlanilhas.com.br</dc:creator>
  <cp:lastModifiedBy>Dell</cp:lastModifiedBy>
  <dcterms:created xsi:type="dcterms:W3CDTF">2010-08-28T01:50:18Z</dcterms:created>
  <dcterms:modified xsi:type="dcterms:W3CDTF">2024-08-07T19:28:04Z</dcterms:modified>
</cp:coreProperties>
</file>