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escomplica\Módulo IV\"/>
    </mc:Choice>
  </mc:AlternateContent>
  <bookViews>
    <workbookView xWindow="0" yWindow="0" windowWidth="20490" windowHeight="8235" firstSheet="5" activeTab="14"/>
  </bookViews>
  <sheets>
    <sheet name="P" sheetId="1" r:id="rId1"/>
    <sheet name="Mobile" sheetId="2" r:id="rId2"/>
    <sheet name="BBAS" sheetId="3" r:id="rId3"/>
    <sheet name="BBDC" sheetId="4" r:id="rId4"/>
    <sheet name="BBSE" sheetId="5" r:id="rId5"/>
    <sheet name="BVMF" sheetId="6" r:id="rId6"/>
    <sheet name="CIEL" sheetId="7" r:id="rId7"/>
    <sheet name="CGAS" sheetId="8" r:id="rId8"/>
    <sheet name="CMIG" sheetId="9" r:id="rId9"/>
    <sheet name="PETR" sheetId="11" r:id="rId10"/>
    <sheet name="ELPL" sheetId="10" r:id="rId11"/>
    <sheet name="PRML" sheetId="12" r:id="rId12"/>
    <sheet name="PSSA" sheetId="13" r:id="rId13"/>
    <sheet name="TIMP" sheetId="14" r:id="rId14"/>
    <sheet name="Aluguel" sheetId="15" r:id="rId1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6" i="1" l="1"/>
  <c r="G21" i="15"/>
  <c r="H21" i="15" s="1"/>
  <c r="G20" i="15"/>
  <c r="H20" i="15" s="1"/>
  <c r="G19" i="15"/>
  <c r="H19" i="15" s="1"/>
  <c r="G18" i="15"/>
  <c r="H18" i="15" s="1"/>
  <c r="G17" i="15"/>
  <c r="H17" i="15" s="1"/>
  <c r="G16" i="15"/>
  <c r="H16" i="15" s="1"/>
  <c r="G15" i="15"/>
  <c r="H15" i="15" s="1"/>
  <c r="G14" i="15"/>
  <c r="G13" i="15"/>
  <c r="A13" i="15"/>
  <c r="G12" i="15"/>
  <c r="G11" i="15"/>
  <c r="G10" i="15"/>
  <c r="G9" i="15"/>
  <c r="A9" i="15"/>
  <c r="G8" i="15"/>
  <c r="G7" i="15"/>
  <c r="G6" i="15"/>
  <c r="G5" i="15"/>
  <c r="A5" i="15"/>
  <c r="G4" i="15"/>
  <c r="G3" i="15"/>
  <c r="O18" i="14"/>
  <c r="N18" i="14"/>
  <c r="M18" i="14"/>
  <c r="L18" i="14"/>
  <c r="K18" i="14"/>
  <c r="J18" i="14"/>
  <c r="I18" i="14"/>
  <c r="H18" i="14"/>
  <c r="G18" i="14"/>
  <c r="F18" i="14"/>
  <c r="B18" i="14"/>
  <c r="N14" i="14"/>
  <c r="M14" i="14"/>
  <c r="L14" i="14"/>
  <c r="K14" i="14"/>
  <c r="I14" i="14"/>
  <c r="H14" i="14"/>
  <c r="F14" i="14"/>
  <c r="B14" i="14"/>
  <c r="G11" i="14"/>
  <c r="O11" i="14" s="1"/>
  <c r="D11" i="14" s="1"/>
  <c r="J10" i="14"/>
  <c r="J14" i="14" s="1"/>
  <c r="G10" i="14"/>
  <c r="G9" i="14"/>
  <c r="O9" i="14" s="1"/>
  <c r="N8" i="14"/>
  <c r="M8" i="14"/>
  <c r="L8" i="14"/>
  <c r="K8" i="14"/>
  <c r="J8" i="14"/>
  <c r="I8" i="14"/>
  <c r="F8" i="14"/>
  <c r="B8" i="14"/>
  <c r="D8" i="14" s="1"/>
  <c r="H7" i="14"/>
  <c r="H8" i="14" s="1"/>
  <c r="H2" i="14" s="1"/>
  <c r="G7" i="14"/>
  <c r="O7" i="14" s="1"/>
  <c r="G6" i="14"/>
  <c r="O6" i="14" s="1"/>
  <c r="G5" i="14"/>
  <c r="O5" i="14" s="1"/>
  <c r="N4" i="14"/>
  <c r="M4" i="14"/>
  <c r="K4" i="14"/>
  <c r="J4" i="14"/>
  <c r="I4" i="14"/>
  <c r="H4" i="14"/>
  <c r="F4" i="14"/>
  <c r="F2" i="14" s="1"/>
  <c r="O3" i="14"/>
  <c r="O4" i="14" s="1"/>
  <c r="A3" i="14"/>
  <c r="N2" i="14"/>
  <c r="L2" i="14"/>
  <c r="O21" i="13"/>
  <c r="N21" i="13"/>
  <c r="M21" i="13"/>
  <c r="L21" i="13"/>
  <c r="K21" i="13"/>
  <c r="J21" i="13"/>
  <c r="I21" i="13"/>
  <c r="H21" i="13"/>
  <c r="G21" i="13"/>
  <c r="F21" i="13"/>
  <c r="B21" i="13"/>
  <c r="D21" i="13" s="1"/>
  <c r="N17" i="13"/>
  <c r="N2" i="13" s="1"/>
  <c r="M17" i="13"/>
  <c r="L17" i="13"/>
  <c r="L2" i="13" s="1"/>
  <c r="K17" i="13"/>
  <c r="J17" i="13"/>
  <c r="I17" i="13"/>
  <c r="F17" i="13"/>
  <c r="B17" i="13"/>
  <c r="O16" i="13"/>
  <c r="G15" i="13"/>
  <c r="O15" i="13" s="1"/>
  <c r="O14" i="13"/>
  <c r="D14" i="13" s="1"/>
  <c r="G14" i="13"/>
  <c r="G13" i="13"/>
  <c r="O13" i="13" s="1"/>
  <c r="D13" i="13" s="1"/>
  <c r="G12" i="13"/>
  <c r="O12" i="13" s="1"/>
  <c r="D12" i="13" s="1"/>
  <c r="H11" i="13"/>
  <c r="H17" i="13" s="1"/>
  <c r="G11" i="13"/>
  <c r="O11" i="13" s="1"/>
  <c r="O10" i="13"/>
  <c r="D10" i="13" s="1"/>
  <c r="G10" i="13"/>
  <c r="N9" i="13"/>
  <c r="M9" i="13"/>
  <c r="L9" i="13"/>
  <c r="K9" i="13"/>
  <c r="J9" i="13"/>
  <c r="J2" i="13" s="1"/>
  <c r="I9" i="13"/>
  <c r="F9" i="13"/>
  <c r="B9" i="13"/>
  <c r="G8" i="13"/>
  <c r="O8" i="13" s="1"/>
  <c r="D8" i="13" s="1"/>
  <c r="G7" i="13"/>
  <c r="O7" i="13" s="1"/>
  <c r="D7" i="13" s="1"/>
  <c r="H6" i="13"/>
  <c r="H9" i="13" s="1"/>
  <c r="G6" i="13"/>
  <c r="O6" i="13" s="1"/>
  <c r="G5" i="13"/>
  <c r="N4" i="13"/>
  <c r="M4" i="13"/>
  <c r="K4" i="13"/>
  <c r="J4" i="13"/>
  <c r="I4" i="13"/>
  <c r="H4" i="13"/>
  <c r="F4" i="13"/>
  <c r="O3" i="13"/>
  <c r="G3" i="13" s="1"/>
  <c r="G4" i="13" s="1"/>
  <c r="A3" i="13"/>
  <c r="F2" i="13"/>
  <c r="O15" i="12"/>
  <c r="N15" i="12"/>
  <c r="M15" i="12"/>
  <c r="L15" i="12"/>
  <c r="K15" i="12"/>
  <c r="J15" i="12"/>
  <c r="I15" i="12"/>
  <c r="H15" i="12"/>
  <c r="G15" i="12"/>
  <c r="F15" i="12"/>
  <c r="B15" i="12"/>
  <c r="N11" i="12"/>
  <c r="M11" i="12"/>
  <c r="L11" i="12"/>
  <c r="K11" i="12"/>
  <c r="K2" i="12" s="1"/>
  <c r="J11" i="12"/>
  <c r="I11" i="12"/>
  <c r="H11" i="12"/>
  <c r="F11" i="12"/>
  <c r="B11" i="12"/>
  <c r="G8" i="12"/>
  <c r="O8" i="12" s="1"/>
  <c r="O11" i="12" s="1"/>
  <c r="N7" i="12"/>
  <c r="M7" i="12"/>
  <c r="M2" i="12" s="1"/>
  <c r="L7" i="12"/>
  <c r="L2" i="12" s="1"/>
  <c r="K7" i="12"/>
  <c r="J7" i="12"/>
  <c r="I7" i="12"/>
  <c r="H7" i="12"/>
  <c r="F7" i="12"/>
  <c r="B7" i="12"/>
  <c r="O6" i="12"/>
  <c r="G6" i="12" s="1"/>
  <c r="O5" i="12"/>
  <c r="O7" i="12" s="1"/>
  <c r="G5" i="12"/>
  <c r="N4" i="12"/>
  <c r="M4" i="12"/>
  <c r="K4" i="12"/>
  <c r="J4" i="12"/>
  <c r="I4" i="12"/>
  <c r="I2" i="12" s="1"/>
  <c r="H4" i="12"/>
  <c r="H2" i="12" s="1"/>
  <c r="F4" i="12"/>
  <c r="O3" i="12"/>
  <c r="O4" i="12" s="1"/>
  <c r="A3" i="12"/>
  <c r="O17" i="11"/>
  <c r="N17" i="11"/>
  <c r="M17" i="11"/>
  <c r="L17" i="11"/>
  <c r="K17" i="11"/>
  <c r="J17" i="11"/>
  <c r="I17" i="11"/>
  <c r="H17" i="11"/>
  <c r="G17" i="11"/>
  <c r="F17" i="11"/>
  <c r="B17" i="11"/>
  <c r="N13" i="11"/>
  <c r="M13" i="11"/>
  <c r="L13" i="11"/>
  <c r="K13" i="11"/>
  <c r="J13" i="11"/>
  <c r="I13" i="11"/>
  <c r="H13" i="11"/>
  <c r="F13" i="11"/>
  <c r="B13" i="11"/>
  <c r="O12" i="11"/>
  <c r="O11" i="11"/>
  <c r="G10" i="11"/>
  <c r="G13" i="11" s="1"/>
  <c r="N9" i="11"/>
  <c r="N2" i="11" s="1"/>
  <c r="M9" i="11"/>
  <c r="L9" i="11"/>
  <c r="K9" i="11"/>
  <c r="J9" i="11"/>
  <c r="I9" i="11"/>
  <c r="H9" i="11"/>
  <c r="H2" i="11" s="1"/>
  <c r="F9" i="11"/>
  <c r="F2" i="11" s="1"/>
  <c r="B9" i="11"/>
  <c r="G8" i="11"/>
  <c r="O8" i="11" s="1"/>
  <c r="D8" i="11" s="1"/>
  <c r="G7" i="11"/>
  <c r="O7" i="11" s="1"/>
  <c r="D7" i="11" s="1"/>
  <c r="G6" i="11"/>
  <c r="O6" i="11" s="1"/>
  <c r="D6" i="11" s="1"/>
  <c r="G5" i="11"/>
  <c r="O5" i="11" s="1"/>
  <c r="N4" i="11"/>
  <c r="M4" i="11"/>
  <c r="K4" i="11"/>
  <c r="J4" i="11"/>
  <c r="J2" i="11" s="1"/>
  <c r="I4" i="11"/>
  <c r="I2" i="11" s="1"/>
  <c r="H4" i="11"/>
  <c r="F4" i="11"/>
  <c r="O3" i="11"/>
  <c r="G3" i="11" s="1"/>
  <c r="G4" i="11" s="1"/>
  <c r="A3" i="11"/>
  <c r="L2" i="11"/>
  <c r="K2" i="11"/>
  <c r="O17" i="10"/>
  <c r="N17" i="10"/>
  <c r="M17" i="10"/>
  <c r="L17" i="10"/>
  <c r="K17" i="10"/>
  <c r="J17" i="10"/>
  <c r="I17" i="10"/>
  <c r="H17" i="10"/>
  <c r="G17" i="10"/>
  <c r="F17" i="10"/>
  <c r="B17" i="10"/>
  <c r="D17" i="10" s="1"/>
  <c r="N13" i="10"/>
  <c r="M13" i="10"/>
  <c r="L13" i="10"/>
  <c r="K13" i="10"/>
  <c r="J13" i="10"/>
  <c r="I13" i="10"/>
  <c r="H13" i="10"/>
  <c r="F13" i="10"/>
  <c r="B13" i="10"/>
  <c r="D13" i="10" s="1"/>
  <c r="G12" i="10"/>
  <c r="O11" i="10"/>
  <c r="G10" i="10"/>
  <c r="O10" i="10" s="1"/>
  <c r="G9" i="10"/>
  <c r="O9" i="10" s="1"/>
  <c r="O13" i="10" s="1"/>
  <c r="N8" i="10"/>
  <c r="N2" i="10" s="1"/>
  <c r="M8" i="10"/>
  <c r="M2" i="10" s="1"/>
  <c r="L8" i="10"/>
  <c r="L2" i="10" s="1"/>
  <c r="K8" i="10"/>
  <c r="K2" i="10" s="1"/>
  <c r="J8" i="10"/>
  <c r="I8" i="10"/>
  <c r="H8" i="10"/>
  <c r="F8" i="10"/>
  <c r="B8" i="10"/>
  <c r="D8" i="10" s="1"/>
  <c r="O7" i="10"/>
  <c r="G7" i="10"/>
  <c r="O6" i="10"/>
  <c r="G6" i="10"/>
  <c r="G5" i="10"/>
  <c r="O5" i="10" s="1"/>
  <c r="N4" i="10"/>
  <c r="M4" i="10"/>
  <c r="K4" i="10"/>
  <c r="J4" i="10"/>
  <c r="I4" i="10"/>
  <c r="I2" i="10" s="1"/>
  <c r="H4" i="10"/>
  <c r="H2" i="10" s="1"/>
  <c r="J10" i="1" s="1"/>
  <c r="F4" i="10"/>
  <c r="F2" i="10" s="1"/>
  <c r="O3" i="10"/>
  <c r="G3" i="10" s="1"/>
  <c r="G4" i="10" s="1"/>
  <c r="A3" i="10"/>
  <c r="J2" i="10"/>
  <c r="O15" i="9"/>
  <c r="N15" i="9"/>
  <c r="M15" i="9"/>
  <c r="L15" i="9"/>
  <c r="K15" i="9"/>
  <c r="J15" i="9"/>
  <c r="I15" i="9"/>
  <c r="H15" i="9"/>
  <c r="G15" i="9"/>
  <c r="F15" i="9"/>
  <c r="B15" i="9"/>
  <c r="D15" i="9" s="1"/>
  <c r="N11" i="9"/>
  <c r="M11" i="9"/>
  <c r="L11" i="9"/>
  <c r="K11" i="9"/>
  <c r="I11" i="9"/>
  <c r="H11" i="9"/>
  <c r="F11" i="9"/>
  <c r="B11" i="9"/>
  <c r="G9" i="9"/>
  <c r="O9" i="9" s="1"/>
  <c r="J8" i="9"/>
  <c r="J11" i="9" s="1"/>
  <c r="G8" i="9"/>
  <c r="O8" i="9" s="1"/>
  <c r="G7" i="9"/>
  <c r="F6" i="9"/>
  <c r="B6" i="9"/>
  <c r="D6" i="9" s="1"/>
  <c r="G5" i="9"/>
  <c r="O5" i="9" s="1"/>
  <c r="N4" i="9"/>
  <c r="N6" i="9" s="1"/>
  <c r="N2" i="9" s="1"/>
  <c r="M4" i="9"/>
  <c r="M6" i="9" s="1"/>
  <c r="K4" i="9"/>
  <c r="K6" i="9" s="1"/>
  <c r="J4" i="9"/>
  <c r="J6" i="9" s="1"/>
  <c r="I4" i="9"/>
  <c r="I6" i="9" s="1"/>
  <c r="I2" i="9" s="1"/>
  <c r="H4" i="9"/>
  <c r="H6" i="9" s="1"/>
  <c r="H2" i="9" s="1"/>
  <c r="F4" i="9"/>
  <c r="F2" i="9" s="1"/>
  <c r="O3" i="9"/>
  <c r="A3" i="9"/>
  <c r="L2" i="9"/>
  <c r="P19" i="8"/>
  <c r="O19" i="8"/>
  <c r="N19" i="8"/>
  <c r="M19" i="8"/>
  <c r="L19" i="8"/>
  <c r="L2" i="8" s="1"/>
  <c r="K19" i="8"/>
  <c r="J19" i="8"/>
  <c r="I19" i="8"/>
  <c r="H19" i="8"/>
  <c r="G19" i="8"/>
  <c r="F19" i="8"/>
  <c r="B19" i="8"/>
  <c r="D19" i="8" s="1"/>
  <c r="N15" i="8"/>
  <c r="M15" i="8"/>
  <c r="L15" i="8"/>
  <c r="K15" i="8"/>
  <c r="J15" i="8"/>
  <c r="I15" i="8"/>
  <c r="F15" i="8"/>
  <c r="B15" i="8"/>
  <c r="D15" i="8" s="1"/>
  <c r="G12" i="8"/>
  <c r="O12" i="8" s="1"/>
  <c r="D12" i="8" s="1"/>
  <c r="G11" i="8"/>
  <c r="H10" i="8"/>
  <c r="H15" i="8" s="1"/>
  <c r="F9" i="8"/>
  <c r="B9" i="8"/>
  <c r="D9" i="8" s="1"/>
  <c r="J8" i="8"/>
  <c r="H8" i="8"/>
  <c r="G8" i="8"/>
  <c r="O8" i="8" s="1"/>
  <c r="G7" i="8"/>
  <c r="O7" i="8" s="1"/>
  <c r="D7" i="8" s="1"/>
  <c r="H6" i="8"/>
  <c r="G6" i="8"/>
  <c r="O6" i="8" s="1"/>
  <c r="G5" i="8"/>
  <c r="O5" i="8" s="1"/>
  <c r="N4" i="8"/>
  <c r="N9" i="8" s="1"/>
  <c r="M4" i="8"/>
  <c r="M9" i="8" s="1"/>
  <c r="K4" i="8"/>
  <c r="K9" i="8" s="1"/>
  <c r="J4" i="8"/>
  <c r="J9" i="8" s="1"/>
  <c r="I4" i="8"/>
  <c r="I9" i="8" s="1"/>
  <c r="I2" i="8" s="1"/>
  <c r="H4" i="8"/>
  <c r="F4" i="8"/>
  <c r="O3" i="8"/>
  <c r="O4" i="8" s="1"/>
  <c r="A3" i="8"/>
  <c r="F2" i="8"/>
  <c r="P22" i="7"/>
  <c r="N22" i="7"/>
  <c r="M22" i="7"/>
  <c r="L22" i="7"/>
  <c r="K22" i="7"/>
  <c r="J22" i="7"/>
  <c r="I22" i="7"/>
  <c r="H22" i="7"/>
  <c r="G22" i="7"/>
  <c r="F22" i="7"/>
  <c r="F2" i="7" s="1"/>
  <c r="B22" i="7"/>
  <c r="N18" i="7"/>
  <c r="M18" i="7"/>
  <c r="L18" i="7"/>
  <c r="K18" i="7"/>
  <c r="I18" i="7"/>
  <c r="F18" i="7"/>
  <c r="B18" i="7"/>
  <c r="G17" i="7"/>
  <c r="P17" i="7" s="1"/>
  <c r="G16" i="7"/>
  <c r="P16" i="7" s="1"/>
  <c r="J15" i="7"/>
  <c r="H15" i="7"/>
  <c r="G14" i="7"/>
  <c r="P14" i="7" s="1"/>
  <c r="G13" i="7"/>
  <c r="P13" i="7" s="1"/>
  <c r="J12" i="7"/>
  <c r="J18" i="7" s="1"/>
  <c r="H12" i="7"/>
  <c r="H18" i="7" s="1"/>
  <c r="G12" i="7"/>
  <c r="N11" i="7"/>
  <c r="L11" i="7"/>
  <c r="K11" i="7"/>
  <c r="I11" i="7"/>
  <c r="F11" i="7"/>
  <c r="B11" i="7"/>
  <c r="J10" i="7"/>
  <c r="H10" i="7"/>
  <c r="G10" i="7"/>
  <c r="P10" i="7" s="1"/>
  <c r="M9" i="7"/>
  <c r="M11" i="7" s="1"/>
  <c r="M2" i="7" s="1"/>
  <c r="G9" i="7"/>
  <c r="P9" i="7" s="1"/>
  <c r="O8" i="7"/>
  <c r="G8" i="7"/>
  <c r="P8" i="7" s="1"/>
  <c r="D8" i="7" s="1"/>
  <c r="O7" i="7"/>
  <c r="G7" i="7"/>
  <c r="P7" i="7" s="1"/>
  <c r="D7" i="7" s="1"/>
  <c r="J6" i="7"/>
  <c r="H6" i="7"/>
  <c r="H11" i="7" s="1"/>
  <c r="G6" i="7"/>
  <c r="P6" i="7" s="1"/>
  <c r="O5" i="7"/>
  <c r="G5" i="7"/>
  <c r="G11" i="7" s="1"/>
  <c r="N4" i="7"/>
  <c r="N2" i="7" s="1"/>
  <c r="M4" i="7"/>
  <c r="K4" i="7"/>
  <c r="J4" i="7"/>
  <c r="I4" i="7"/>
  <c r="H4" i="7"/>
  <c r="F4" i="7"/>
  <c r="D4" i="7"/>
  <c r="P3" i="7"/>
  <c r="G3" i="7" s="1"/>
  <c r="G4" i="7" s="1"/>
  <c r="A3" i="7"/>
  <c r="L2" i="7"/>
  <c r="K2" i="7"/>
  <c r="I2" i="7"/>
  <c r="O25" i="6"/>
  <c r="N25" i="6"/>
  <c r="M25" i="6"/>
  <c r="L25" i="6"/>
  <c r="K25" i="6"/>
  <c r="J25" i="6"/>
  <c r="I25" i="6"/>
  <c r="H25" i="6"/>
  <c r="G25" i="6"/>
  <c r="F25" i="6"/>
  <c r="B25" i="6"/>
  <c r="M21" i="6"/>
  <c r="L21" i="6"/>
  <c r="K21" i="6"/>
  <c r="I21" i="6"/>
  <c r="H21" i="6"/>
  <c r="F21" i="6"/>
  <c r="B21" i="6"/>
  <c r="G20" i="6"/>
  <c r="O20" i="6" s="1"/>
  <c r="G18" i="6"/>
  <c r="O18" i="6" s="1"/>
  <c r="D18" i="6" s="1"/>
  <c r="J17" i="6"/>
  <c r="G16" i="6"/>
  <c r="O16" i="6" s="1"/>
  <c r="D16" i="6" s="1"/>
  <c r="J15" i="6"/>
  <c r="J21" i="6" s="1"/>
  <c r="G15" i="6"/>
  <c r="O15" i="6" s="1"/>
  <c r="G14" i="6"/>
  <c r="O14" i="6" s="1"/>
  <c r="N13" i="6"/>
  <c r="N21" i="6" s="1"/>
  <c r="G13" i="6"/>
  <c r="O13" i="6" s="1"/>
  <c r="N12" i="6"/>
  <c r="M12" i="6"/>
  <c r="L12" i="6"/>
  <c r="K12" i="6"/>
  <c r="I12" i="6"/>
  <c r="F12" i="6"/>
  <c r="D12" i="6"/>
  <c r="B12" i="6"/>
  <c r="J11" i="6"/>
  <c r="G11" i="6"/>
  <c r="O11" i="6" s="1"/>
  <c r="H10" i="6"/>
  <c r="G10" i="6"/>
  <c r="O10" i="6" s="1"/>
  <c r="J9" i="6"/>
  <c r="J4" i="6" s="1"/>
  <c r="G9" i="6"/>
  <c r="O9" i="6" s="1"/>
  <c r="G8" i="6"/>
  <c r="O8" i="6" s="1"/>
  <c r="H7" i="6"/>
  <c r="G7" i="6"/>
  <c r="O7" i="6" s="1"/>
  <c r="J6" i="6"/>
  <c r="G6" i="6"/>
  <c r="O6" i="6" s="1"/>
  <c r="G5" i="6"/>
  <c r="O5" i="6" s="1"/>
  <c r="D5" i="6"/>
  <c r="N4" i="6"/>
  <c r="M4" i="6"/>
  <c r="L4" i="6"/>
  <c r="K4" i="6"/>
  <c r="I4" i="6"/>
  <c r="H4" i="6"/>
  <c r="F4" i="6"/>
  <c r="O3" i="6"/>
  <c r="G3" i="6" s="1"/>
  <c r="A3" i="6"/>
  <c r="M2" i="6"/>
  <c r="L2" i="6"/>
  <c r="K2" i="6"/>
  <c r="I2" i="6"/>
  <c r="F2" i="6"/>
  <c r="O15" i="5"/>
  <c r="N15" i="5"/>
  <c r="M15" i="5"/>
  <c r="L15" i="5"/>
  <c r="K15" i="5"/>
  <c r="J15" i="5"/>
  <c r="I15" i="5"/>
  <c r="H15" i="5"/>
  <c r="G15" i="5"/>
  <c r="F15" i="5"/>
  <c r="B15" i="5"/>
  <c r="N11" i="5"/>
  <c r="M11" i="5"/>
  <c r="L11" i="5"/>
  <c r="L2" i="5" s="1"/>
  <c r="K11" i="5"/>
  <c r="J11" i="5"/>
  <c r="I11" i="5"/>
  <c r="F11" i="5"/>
  <c r="B11" i="5"/>
  <c r="G10" i="5"/>
  <c r="O10" i="5" s="1"/>
  <c r="G9" i="5"/>
  <c r="O9" i="5" s="1"/>
  <c r="H8" i="5"/>
  <c r="H11" i="5" s="1"/>
  <c r="G8" i="5"/>
  <c r="O8" i="5" s="1"/>
  <c r="G7" i="5"/>
  <c r="G11" i="5" s="1"/>
  <c r="F6" i="5"/>
  <c r="B6" i="5"/>
  <c r="G5" i="5"/>
  <c r="O5" i="5" s="1"/>
  <c r="N4" i="5"/>
  <c r="N6" i="5" s="1"/>
  <c r="N2" i="5" s="1"/>
  <c r="M4" i="5"/>
  <c r="M6" i="5" s="1"/>
  <c r="M2" i="5" s="1"/>
  <c r="K4" i="5"/>
  <c r="K6" i="5" s="1"/>
  <c r="J4" i="5"/>
  <c r="J6" i="5" s="1"/>
  <c r="I4" i="5"/>
  <c r="I6" i="5" s="1"/>
  <c r="I2" i="5" s="1"/>
  <c r="H4" i="5"/>
  <c r="H6" i="5" s="1"/>
  <c r="F4" i="5"/>
  <c r="O3" i="5"/>
  <c r="O4" i="5" s="1"/>
  <c r="A3" i="5"/>
  <c r="F2" i="5"/>
  <c r="P34" i="4"/>
  <c r="O34" i="4"/>
  <c r="N34" i="4"/>
  <c r="M34" i="4"/>
  <c r="L34" i="4"/>
  <c r="K34" i="4"/>
  <c r="J34" i="4"/>
  <c r="I34" i="4"/>
  <c r="H34" i="4"/>
  <c r="G34" i="4"/>
  <c r="F34" i="4"/>
  <c r="B34" i="4"/>
  <c r="N30" i="4"/>
  <c r="M30" i="4"/>
  <c r="L30" i="4"/>
  <c r="K30" i="4"/>
  <c r="I30" i="4"/>
  <c r="H30" i="4"/>
  <c r="F30" i="4"/>
  <c r="B30" i="4"/>
  <c r="G29" i="4"/>
  <c r="O29" i="4" s="1"/>
  <c r="J27" i="4"/>
  <c r="J26" i="4"/>
  <c r="J25" i="4"/>
  <c r="J24" i="4"/>
  <c r="J23" i="4"/>
  <c r="J22" i="4"/>
  <c r="G22" i="4"/>
  <c r="O22" i="4" s="1"/>
  <c r="J21" i="4"/>
  <c r="G21" i="4"/>
  <c r="O21" i="4" s="1"/>
  <c r="J19" i="4"/>
  <c r="G19" i="4"/>
  <c r="O19" i="4" s="1"/>
  <c r="J18" i="4"/>
  <c r="G18" i="4"/>
  <c r="O18" i="4" s="1"/>
  <c r="J17" i="4"/>
  <c r="G17" i="4"/>
  <c r="O17" i="4" s="1"/>
  <c r="F16" i="4"/>
  <c r="B16" i="4"/>
  <c r="J15" i="4"/>
  <c r="G15" i="4"/>
  <c r="O15" i="4" s="1"/>
  <c r="O14" i="4"/>
  <c r="J14" i="4"/>
  <c r="G14" i="4"/>
  <c r="J13" i="4"/>
  <c r="G13" i="4"/>
  <c r="O13" i="4" s="1"/>
  <c r="J12" i="4"/>
  <c r="G12" i="4"/>
  <c r="O12" i="4" s="1"/>
  <c r="O11" i="4"/>
  <c r="H11" i="4"/>
  <c r="G11" i="4"/>
  <c r="J10" i="4"/>
  <c r="G10" i="4"/>
  <c r="O10" i="4" s="1"/>
  <c r="J9" i="4"/>
  <c r="G9" i="4"/>
  <c r="O9" i="4" s="1"/>
  <c r="J8" i="4"/>
  <c r="G8" i="4"/>
  <c r="O8" i="4" s="1"/>
  <c r="O7" i="4"/>
  <c r="J7" i="4"/>
  <c r="G7" i="4"/>
  <c r="G6" i="4"/>
  <c r="O6" i="4" s="1"/>
  <c r="G5" i="4"/>
  <c r="O5" i="4" s="1"/>
  <c r="N4" i="4"/>
  <c r="N16" i="4" s="1"/>
  <c r="N2" i="4" s="1"/>
  <c r="L4" i="4"/>
  <c r="L16" i="4" s="1"/>
  <c r="L2" i="4" s="1"/>
  <c r="K4" i="4"/>
  <c r="K16" i="4" s="1"/>
  <c r="K2" i="4" s="1"/>
  <c r="J4" i="4"/>
  <c r="I4" i="4"/>
  <c r="I16" i="4" s="1"/>
  <c r="H4" i="4"/>
  <c r="F4" i="4"/>
  <c r="F2" i="4" s="1"/>
  <c r="D4" i="4"/>
  <c r="O3" i="4"/>
  <c r="A3" i="4"/>
  <c r="M2" i="4"/>
  <c r="N25" i="3"/>
  <c r="M25" i="3"/>
  <c r="L25" i="3"/>
  <c r="K25" i="3"/>
  <c r="I25" i="3"/>
  <c r="H25" i="3"/>
  <c r="F25" i="3"/>
  <c r="E25" i="3"/>
  <c r="B25" i="3"/>
  <c r="J22" i="3"/>
  <c r="J21" i="3"/>
  <c r="G20" i="3"/>
  <c r="G25" i="3" s="1"/>
  <c r="J19" i="3"/>
  <c r="J18" i="3"/>
  <c r="J17" i="3"/>
  <c r="J25" i="3" s="1"/>
  <c r="M16" i="3"/>
  <c r="L16" i="3"/>
  <c r="K16" i="3"/>
  <c r="I16" i="3"/>
  <c r="I2" i="3" s="1"/>
  <c r="F16" i="3"/>
  <c r="F2" i="3" s="1"/>
  <c r="B16" i="3"/>
  <c r="H15" i="3"/>
  <c r="N15" i="3" s="1"/>
  <c r="G15" i="3"/>
  <c r="O15" i="3" s="1"/>
  <c r="G14" i="3"/>
  <c r="O14" i="3" s="1"/>
  <c r="N13" i="3"/>
  <c r="G13" i="3"/>
  <c r="O13" i="3" s="1"/>
  <c r="D13" i="3" s="1"/>
  <c r="J12" i="3"/>
  <c r="N12" i="3" s="1"/>
  <c r="G12" i="3"/>
  <c r="O12" i="3" s="1"/>
  <c r="J11" i="3"/>
  <c r="N11" i="3" s="1"/>
  <c r="H11" i="3"/>
  <c r="G11" i="3"/>
  <c r="O11" i="3" s="1"/>
  <c r="D11" i="3" s="1"/>
  <c r="N10" i="3"/>
  <c r="G10" i="3"/>
  <c r="O10" i="3" s="1"/>
  <c r="D10" i="3" s="1"/>
  <c r="J9" i="3"/>
  <c r="N9" i="3" s="1"/>
  <c r="G9" i="3"/>
  <c r="O9" i="3" s="1"/>
  <c r="N8" i="3"/>
  <c r="H8" i="3"/>
  <c r="G8" i="3"/>
  <c r="O8" i="3" s="1"/>
  <c r="N7" i="3"/>
  <c r="G7" i="3"/>
  <c r="O7" i="3" s="1"/>
  <c r="D7" i="3" s="1"/>
  <c r="J6" i="3"/>
  <c r="J16" i="3" s="1"/>
  <c r="J2" i="3" s="1"/>
  <c r="G6" i="3"/>
  <c r="O6" i="3" s="1"/>
  <c r="N5" i="3"/>
  <c r="G5" i="3"/>
  <c r="M4" i="3"/>
  <c r="L4" i="3"/>
  <c r="L2" i="3" s="1"/>
  <c r="K4" i="3"/>
  <c r="K2" i="3" s="1"/>
  <c r="J4" i="3"/>
  <c r="I4" i="3"/>
  <c r="H4" i="3"/>
  <c r="F4" i="3"/>
  <c r="D4" i="3"/>
  <c r="O4" i="3"/>
  <c r="A3" i="3"/>
  <c r="M2" i="3"/>
  <c r="A25" i="2"/>
  <c r="A17" i="2"/>
  <c r="A9" i="2"/>
  <c r="A2" i="2"/>
  <c r="A1" i="2"/>
  <c r="M58" i="1"/>
  <c r="M57" i="1"/>
  <c r="N57" i="1" s="1"/>
  <c r="I57" i="1"/>
  <c r="E57" i="1"/>
  <c r="N56" i="1"/>
  <c r="I56" i="1"/>
  <c r="E56" i="1"/>
  <c r="N55" i="1"/>
  <c r="M55" i="1"/>
  <c r="I55" i="1"/>
  <c r="E55" i="1"/>
  <c r="M54" i="1"/>
  <c r="N54" i="1" s="1"/>
  <c r="I54" i="1"/>
  <c r="E54" i="1"/>
  <c r="N53" i="1"/>
  <c r="M53" i="1"/>
  <c r="I53" i="1"/>
  <c r="E53" i="1"/>
  <c r="N52" i="1"/>
  <c r="I52" i="1"/>
  <c r="E52" i="1"/>
  <c r="N51" i="1"/>
  <c r="I51" i="1"/>
  <c r="E51" i="1"/>
  <c r="N50" i="1"/>
  <c r="I50" i="1"/>
  <c r="E50" i="1"/>
  <c r="N49" i="1"/>
  <c r="I49" i="1"/>
  <c r="E49" i="1"/>
  <c r="N48" i="1"/>
  <c r="I48" i="1"/>
  <c r="E48" i="1"/>
  <c r="N47" i="1"/>
  <c r="I47" i="1"/>
  <c r="E47" i="1"/>
  <c r="N46" i="1"/>
  <c r="I46" i="1"/>
  <c r="E46" i="1"/>
  <c r="N45" i="1"/>
  <c r="I45" i="1"/>
  <c r="E45" i="1"/>
  <c r="N44" i="1"/>
  <c r="I44" i="1"/>
  <c r="E44" i="1"/>
  <c r="N43" i="1"/>
  <c r="I43" i="1"/>
  <c r="E43" i="1"/>
  <c r="N42" i="1"/>
  <c r="I42" i="1"/>
  <c r="E42" i="1"/>
  <c r="N41" i="1"/>
  <c r="K41" i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J41" i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I41" i="1"/>
  <c r="E41" i="1"/>
  <c r="N40" i="1"/>
  <c r="I40" i="1"/>
  <c r="E40" i="1"/>
  <c r="N39" i="1"/>
  <c r="I39" i="1"/>
  <c r="D39" i="1"/>
  <c r="D40" i="1" s="1"/>
  <c r="A30" i="1"/>
  <c r="A28" i="1"/>
  <c r="A24" i="1"/>
  <c r="A20" i="1"/>
  <c r="L15" i="1"/>
  <c r="A14" i="1"/>
  <c r="A29" i="1" s="1"/>
  <c r="A12" i="1"/>
  <c r="A12" i="15" s="1"/>
  <c r="A11" i="1"/>
  <c r="A11" i="15" s="1"/>
  <c r="A10" i="1"/>
  <c r="A25" i="1" s="1"/>
  <c r="A8" i="1"/>
  <c r="A8" i="15" s="1"/>
  <c r="A7" i="1"/>
  <c r="A7" i="15" s="1"/>
  <c r="A6" i="1"/>
  <c r="A4" i="1"/>
  <c r="A4" i="15" s="1"/>
  <c r="A3" i="1"/>
  <c r="Q2" i="1"/>
  <c r="C58" i="1" s="1"/>
  <c r="D2" i="1"/>
  <c r="A2" i="1"/>
  <c r="E6" i="15"/>
  <c r="B27" i="2"/>
  <c r="B19" i="2"/>
  <c r="B11" i="2"/>
  <c r="C2" i="2"/>
  <c r="E29" i="1"/>
  <c r="P27" i="1"/>
  <c r="B26" i="1"/>
  <c r="H24" i="1"/>
  <c r="O22" i="1"/>
  <c r="E21" i="1"/>
  <c r="P19" i="1"/>
  <c r="B18" i="1"/>
  <c r="F11" i="1"/>
  <c r="F8" i="1"/>
  <c r="I4" i="1"/>
  <c r="G27" i="1"/>
  <c r="N24" i="1"/>
  <c r="P18" i="1"/>
  <c r="E5" i="15"/>
  <c r="C27" i="2"/>
  <c r="C11" i="2"/>
  <c r="E8" i="15"/>
  <c r="C28" i="2"/>
  <c r="C20" i="2"/>
  <c r="C12" i="2"/>
  <c r="E2" i="2"/>
  <c r="O28" i="1"/>
  <c r="H27" i="1"/>
  <c r="P25" i="1"/>
  <c r="B24" i="1"/>
  <c r="H22" i="1"/>
  <c r="O20" i="1"/>
  <c r="E19" i="1"/>
  <c r="D14" i="1"/>
  <c r="F9" i="1"/>
  <c r="E5" i="1"/>
  <c r="B27" i="1"/>
  <c r="G22" i="1"/>
  <c r="D19" i="1"/>
  <c r="E7" i="15"/>
  <c r="A2" i="10"/>
  <c r="C17" i="2"/>
  <c r="C3" i="2"/>
  <c r="P28" i="1"/>
  <c r="P26" i="1"/>
  <c r="D25" i="1"/>
  <c r="F23" i="1"/>
  <c r="M21" i="1"/>
  <c r="G20" i="1"/>
  <c r="N18" i="1"/>
  <c r="D13" i="1"/>
  <c r="D10" i="1"/>
  <c r="F5" i="1"/>
  <c r="F29" i="1"/>
  <c r="B25" i="1"/>
  <c r="F21" i="1"/>
  <c r="E6" i="1"/>
  <c r="I6" i="1"/>
  <c r="E10" i="15"/>
  <c r="C14" i="2"/>
  <c r="N29" i="1"/>
  <c r="G26" i="1"/>
  <c r="N21" i="1"/>
  <c r="E13" i="1"/>
  <c r="D6" i="1"/>
  <c r="H19" i="1"/>
  <c r="A2" i="4"/>
  <c r="A2" i="7"/>
  <c r="B5" i="2"/>
  <c r="N27" i="1"/>
  <c r="M22" i="1"/>
  <c r="N19" i="1"/>
  <c r="I5" i="1"/>
  <c r="M19" i="1"/>
  <c r="A2" i="11"/>
  <c r="D29" i="1"/>
  <c r="P20" i="1"/>
  <c r="E14" i="1"/>
  <c r="A1" i="1"/>
  <c r="F7" i="1"/>
  <c r="A2" i="8"/>
  <c r="C26" i="2"/>
  <c r="C18" i="2"/>
  <c r="C10" i="2"/>
  <c r="C1" i="2"/>
  <c r="M28" i="1"/>
  <c r="F27" i="1"/>
  <c r="N25" i="1"/>
  <c r="D24" i="1"/>
  <c r="F22" i="1"/>
  <c r="M20" i="1"/>
  <c r="G19" i="1"/>
  <c r="F14" i="1"/>
  <c r="I10" i="1"/>
  <c r="I7" i="1"/>
  <c r="E4" i="1"/>
  <c r="N26" i="1"/>
  <c r="O21" i="1"/>
  <c r="D12" i="1"/>
  <c r="A2" i="14"/>
  <c r="C23" i="2"/>
  <c r="C7" i="2"/>
  <c r="E4" i="15"/>
  <c r="B25" i="2"/>
  <c r="B17" i="2"/>
  <c r="B9" i="2"/>
  <c r="E1" i="2"/>
  <c r="F28" i="1"/>
  <c r="D27" i="1"/>
  <c r="G25" i="1"/>
  <c r="N23" i="1"/>
  <c r="D22" i="1"/>
  <c r="F20" i="1"/>
  <c r="M18" i="1"/>
  <c r="I12" i="1"/>
  <c r="D8" i="1"/>
  <c r="F3" i="1"/>
  <c r="D26" i="1"/>
  <c r="N20" i="1"/>
  <c r="G18" i="1"/>
  <c r="E3" i="15"/>
  <c r="A2" i="6"/>
  <c r="C13" i="2"/>
  <c r="M29" i="1"/>
  <c r="G28" i="1"/>
  <c r="F26" i="1"/>
  <c r="P24" i="1"/>
  <c r="B23" i="1"/>
  <c r="H21" i="1"/>
  <c r="O19" i="1"/>
  <c r="E18" i="1"/>
  <c r="F12" i="1"/>
  <c r="I8" i="1"/>
  <c r="D4" i="1"/>
  <c r="B29" i="1"/>
  <c r="E24" i="1"/>
  <c r="F13" i="1"/>
  <c r="D5" i="1"/>
  <c r="F4" i="1"/>
  <c r="C22" i="2"/>
  <c r="M24" i="1"/>
  <c r="F18" i="1"/>
  <c r="F25" i="1"/>
  <c r="C15" i="2"/>
  <c r="B13" i="2"/>
  <c r="E26" i="1"/>
  <c r="D18" i="1"/>
  <c r="D23" i="1"/>
  <c r="C5" i="2"/>
  <c r="H25" i="1"/>
  <c r="O23" i="1"/>
  <c r="B19" i="1"/>
  <c r="D7" i="1"/>
  <c r="P22" i="1"/>
  <c r="E14" i="15"/>
  <c r="A2" i="5"/>
  <c r="B23" i="2"/>
  <c r="B15" i="2"/>
  <c r="B7" i="2"/>
  <c r="Q34" i="1"/>
  <c r="H28" i="1"/>
  <c r="M26" i="1"/>
  <c r="E25" i="1"/>
  <c r="P23" i="1"/>
  <c r="B22" i="1"/>
  <c r="H20" i="1"/>
  <c r="O18" i="1"/>
  <c r="I13" i="1"/>
  <c r="E10" i="1"/>
  <c r="E7" i="1"/>
  <c r="D3" i="1"/>
  <c r="H26" i="1"/>
  <c r="B21" i="1"/>
  <c r="E13" i="15"/>
  <c r="A2" i="9"/>
  <c r="C19" i="2"/>
  <c r="D2" i="2"/>
  <c r="A2" i="12"/>
  <c r="C24" i="2"/>
  <c r="C16" i="2"/>
  <c r="C8" i="2"/>
  <c r="P29" i="1"/>
  <c r="B28" i="1"/>
  <c r="O26" i="1"/>
  <c r="O24" i="1"/>
  <c r="E23" i="1"/>
  <c r="P21" i="1"/>
  <c r="B20" i="1"/>
  <c r="H18" i="1"/>
  <c r="E12" i="1"/>
  <c r="F6" i="1"/>
  <c r="O29" i="1"/>
  <c r="M23" i="1"/>
  <c r="E20" i="1"/>
  <c r="I9" i="1"/>
  <c r="A2" i="13"/>
  <c r="C25" i="2"/>
  <c r="C9" i="2"/>
  <c r="H29" i="1"/>
  <c r="O27" i="1"/>
  <c r="M25" i="1"/>
  <c r="G24" i="1"/>
  <c r="N22" i="1"/>
  <c r="D21" i="1"/>
  <c r="F19" i="1"/>
  <c r="I14" i="1"/>
  <c r="I11" i="1"/>
  <c r="E8" i="1"/>
  <c r="I2" i="1"/>
  <c r="N28" i="1"/>
  <c r="H23" i="1"/>
  <c r="F10" i="1"/>
  <c r="E3" i="1"/>
  <c r="I3" i="1"/>
  <c r="A2" i="3"/>
  <c r="C6" i="2"/>
  <c r="D28" i="1"/>
  <c r="G23" i="1"/>
  <c r="D20" i="1"/>
  <c r="D9" i="1"/>
  <c r="E28" i="1"/>
  <c r="E9" i="15"/>
  <c r="E12" i="15"/>
  <c r="B21" i="2"/>
  <c r="G29" i="1"/>
  <c r="F24" i="1"/>
  <c r="G21" i="1"/>
  <c r="D11" i="1"/>
  <c r="M27" i="1"/>
  <c r="E11" i="15"/>
  <c r="C21" i="2"/>
  <c r="E27" i="1"/>
  <c r="E22" i="1"/>
  <c r="E11" i="1"/>
  <c r="O25" i="1"/>
  <c r="E9" i="1"/>
  <c r="J11" i="1" l="1"/>
  <c r="O8" i="14"/>
  <c r="C8" i="14" s="1"/>
  <c r="G4" i="6"/>
  <c r="M2" i="9"/>
  <c r="N4" i="3"/>
  <c r="J2" i="8"/>
  <c r="K2" i="8"/>
  <c r="M2" i="11"/>
  <c r="O16" i="4"/>
  <c r="J12" i="6"/>
  <c r="J2" i="6" s="1"/>
  <c r="M2" i="8"/>
  <c r="M2" i="13"/>
  <c r="G8" i="14"/>
  <c r="G14" i="14"/>
  <c r="G16" i="3"/>
  <c r="H2" i="7"/>
  <c r="N2" i="8"/>
  <c r="C13" i="10"/>
  <c r="C21" i="13"/>
  <c r="I2" i="14"/>
  <c r="J2" i="14"/>
  <c r="N16" i="3"/>
  <c r="H16" i="4"/>
  <c r="H2" i="4" s="1"/>
  <c r="D15" i="5"/>
  <c r="J11" i="7"/>
  <c r="J2" i="7" s="1"/>
  <c r="O9" i="7"/>
  <c r="G11" i="9"/>
  <c r="G9" i="13"/>
  <c r="I2" i="13"/>
  <c r="O5" i="3"/>
  <c r="D5" i="3" s="1"/>
  <c r="I2" i="4"/>
  <c r="H12" i="6"/>
  <c r="H2" i="6" s="1"/>
  <c r="O6" i="7"/>
  <c r="O11" i="7" s="1"/>
  <c r="O2" i="7" s="1"/>
  <c r="O7" i="9"/>
  <c r="O8" i="10"/>
  <c r="C8" i="10" s="1"/>
  <c r="N2" i="12"/>
  <c r="J2" i="12"/>
  <c r="J12" i="1" s="1"/>
  <c r="K2" i="14"/>
  <c r="J14" i="1"/>
  <c r="N6" i="3"/>
  <c r="J2" i="5"/>
  <c r="H2" i="13"/>
  <c r="M2" i="14"/>
  <c r="K2" i="5"/>
  <c r="P5" i="7"/>
  <c r="D5" i="7" s="1"/>
  <c r="C19" i="8"/>
  <c r="O10" i="11"/>
  <c r="O13" i="11" s="1"/>
  <c r="F2" i="12"/>
  <c r="H16" i="3"/>
  <c r="H2" i="3" s="1"/>
  <c r="J3" i="1" s="1"/>
  <c r="J16" i="4"/>
  <c r="J30" i="4"/>
  <c r="H2" i="5"/>
  <c r="J5" i="1" s="1"/>
  <c r="N2" i="6"/>
  <c r="G18" i="7"/>
  <c r="G2" i="7" s="1"/>
  <c r="H9" i="8"/>
  <c r="H2" i="8" s="1"/>
  <c r="G15" i="8"/>
  <c r="K2" i="9"/>
  <c r="O2" i="12"/>
  <c r="G7" i="12"/>
  <c r="O17" i="13"/>
  <c r="K2" i="13"/>
  <c r="G3" i="12"/>
  <c r="G4" i="12" s="1"/>
  <c r="I20" i="1"/>
  <c r="J21" i="1"/>
  <c r="C25" i="1"/>
  <c r="C29" i="1"/>
  <c r="J29" i="1"/>
  <c r="I58" i="1"/>
  <c r="I19" i="1"/>
  <c r="I22" i="1"/>
  <c r="I25" i="1"/>
  <c r="I28" i="1"/>
  <c r="C19" i="1"/>
  <c r="J19" i="1"/>
  <c r="C23" i="1"/>
  <c r="J23" i="1"/>
  <c r="J26" i="1"/>
  <c r="C3" i="6"/>
  <c r="C4" i="6" s="1"/>
  <c r="C3" i="10"/>
  <c r="B3" i="10" s="1"/>
  <c r="B4" i="10" s="1"/>
  <c r="B2" i="10" s="1"/>
  <c r="B10" i="1" s="1"/>
  <c r="C3" i="11"/>
  <c r="B3" i="11" s="1"/>
  <c r="B4" i="11" s="1"/>
  <c r="B2" i="11" s="1"/>
  <c r="B11" i="1" s="1"/>
  <c r="C3" i="13"/>
  <c r="B3" i="13" s="1"/>
  <c r="B4" i="13" s="1"/>
  <c r="B2" i="13" s="1"/>
  <c r="B13" i="1" s="1"/>
  <c r="L28" i="1" s="1"/>
  <c r="F2" i="1"/>
  <c r="I23" i="1"/>
  <c r="I26" i="1"/>
  <c r="I29" i="1"/>
  <c r="C20" i="1"/>
  <c r="J20" i="1"/>
  <c r="C24" i="1"/>
  <c r="J24" i="1"/>
  <c r="C28" i="1"/>
  <c r="J28" i="1"/>
  <c r="C3" i="7"/>
  <c r="C4" i="7" s="1"/>
  <c r="C3" i="12"/>
  <c r="B3" i="12" s="1"/>
  <c r="B4" i="12" s="1"/>
  <c r="B2" i="12" s="1"/>
  <c r="B12" i="1" s="1"/>
  <c r="C3" i="4"/>
  <c r="C4" i="4" s="1"/>
  <c r="C3" i="9"/>
  <c r="B3" i="9" s="1"/>
  <c r="B4" i="9" s="1"/>
  <c r="B2" i="9" s="1"/>
  <c r="B9" i="1" s="1"/>
  <c r="C3" i="14"/>
  <c r="B3" i="14" s="1"/>
  <c r="B4" i="14" s="1"/>
  <c r="B2" i="14" s="1"/>
  <c r="B14" i="1" s="1"/>
  <c r="L29" i="1" s="1"/>
  <c r="I27" i="1"/>
  <c r="C21" i="1"/>
  <c r="J25" i="1"/>
  <c r="I18" i="1"/>
  <c r="I21" i="1"/>
  <c r="I24" i="1"/>
  <c r="C18" i="1"/>
  <c r="J18" i="1"/>
  <c r="C22" i="1"/>
  <c r="J22" i="1"/>
  <c r="J27" i="1"/>
  <c r="D1" i="2"/>
  <c r="C3" i="3"/>
  <c r="C4" i="3" s="1"/>
  <c r="C3" i="5"/>
  <c r="B3" i="5" s="1"/>
  <c r="C3" i="8"/>
  <c r="B3" i="8" s="1"/>
  <c r="A3" i="15"/>
  <c r="A5" i="2"/>
  <c r="A18" i="1"/>
  <c r="A21" i="1"/>
  <c r="A6" i="15"/>
  <c r="A11" i="2"/>
  <c r="H40" i="1"/>
  <c r="D41" i="1"/>
  <c r="F40" i="1"/>
  <c r="G40" i="1" s="1"/>
  <c r="D5" i="11"/>
  <c r="O9" i="11"/>
  <c r="D9" i="11" s="1"/>
  <c r="C17" i="13"/>
  <c r="D17" i="13"/>
  <c r="D9" i="14"/>
  <c r="I17" i="15"/>
  <c r="J17" i="15" s="1"/>
  <c r="I21" i="15"/>
  <c r="J21" i="15" s="1"/>
  <c r="I16" i="15"/>
  <c r="J16" i="15" s="1"/>
  <c r="I20" i="15"/>
  <c r="J20" i="15" s="1"/>
  <c r="O6" i="9"/>
  <c r="C6" i="9" s="1"/>
  <c r="D5" i="9"/>
  <c r="I15" i="15"/>
  <c r="J15" i="15" s="1"/>
  <c r="I19" i="15"/>
  <c r="J19" i="15" s="1"/>
  <c r="O30" i="4"/>
  <c r="J6" i="1"/>
  <c r="O21" i="6"/>
  <c r="J2" i="9"/>
  <c r="J9" i="1" s="1"/>
  <c r="O11" i="9"/>
  <c r="J13" i="1"/>
  <c r="C34" i="1"/>
  <c r="C16" i="4"/>
  <c r="D16" i="4"/>
  <c r="D5" i="5"/>
  <c r="O6" i="5"/>
  <c r="O9" i="8"/>
  <c r="C9" i="8" s="1"/>
  <c r="D5" i="8"/>
  <c r="I18" i="15"/>
  <c r="J18" i="15" s="1"/>
  <c r="N2" i="3"/>
  <c r="O12" i="6"/>
  <c r="C12" i="6" s="1"/>
  <c r="A22" i="1"/>
  <c r="A26" i="1"/>
  <c r="F39" i="1"/>
  <c r="A7" i="2"/>
  <c r="A15" i="2"/>
  <c r="A19" i="2"/>
  <c r="A23" i="2"/>
  <c r="A27" i="2"/>
  <c r="O4" i="4"/>
  <c r="G30" i="4"/>
  <c r="C15" i="5"/>
  <c r="P11" i="7"/>
  <c r="C11" i="7" s="1"/>
  <c r="P12" i="7"/>
  <c r="P18" i="7" s="1"/>
  <c r="C15" i="9"/>
  <c r="O4" i="10"/>
  <c r="O2" i="10" s="1"/>
  <c r="C17" i="10"/>
  <c r="O4" i="11"/>
  <c r="G9" i="11"/>
  <c r="G2" i="11" s="1"/>
  <c r="D5" i="12"/>
  <c r="G11" i="12"/>
  <c r="O4" i="13"/>
  <c r="G17" i="13"/>
  <c r="G2" i="13" s="1"/>
  <c r="O10" i="14"/>
  <c r="O14" i="14" s="1"/>
  <c r="O2" i="14" s="1"/>
  <c r="A19" i="1"/>
  <c r="A23" i="1"/>
  <c r="G12" i="6"/>
  <c r="G21" i="6"/>
  <c r="G3" i="8"/>
  <c r="O11" i="8"/>
  <c r="G3" i="9"/>
  <c r="G8" i="10"/>
  <c r="O5" i="13"/>
  <c r="G3" i="14"/>
  <c r="G4" i="14" s="1"/>
  <c r="G2" i="14" s="1"/>
  <c r="A10" i="15"/>
  <c r="A14" i="15"/>
  <c r="H39" i="1"/>
  <c r="Q39" i="1" s="1"/>
  <c r="A13" i="2"/>
  <c r="A21" i="2"/>
  <c r="O20" i="3"/>
  <c r="O7" i="5"/>
  <c r="O11" i="5" s="1"/>
  <c r="O2" i="5" s="1"/>
  <c r="O4" i="6"/>
  <c r="O2" i="6" s="1"/>
  <c r="P4" i="7"/>
  <c r="O4" i="9"/>
  <c r="D7" i="9"/>
  <c r="G13" i="10"/>
  <c r="A27" i="1"/>
  <c r="P2" i="7" l="1"/>
  <c r="B3" i="6"/>
  <c r="B4" i="6" s="1"/>
  <c r="B2" i="6" s="1"/>
  <c r="B6" i="1" s="1"/>
  <c r="L21" i="1" s="1"/>
  <c r="G2" i="12"/>
  <c r="C2" i="12"/>
  <c r="J4" i="1"/>
  <c r="O2" i="11"/>
  <c r="G2" i="10"/>
  <c r="O2" i="4"/>
  <c r="J2" i="4"/>
  <c r="O16" i="3"/>
  <c r="D16" i="3" s="1"/>
  <c r="J7" i="1"/>
  <c r="J8" i="1"/>
  <c r="B3" i="3"/>
  <c r="B4" i="3" s="1"/>
  <c r="B2" i="3" s="1"/>
  <c r="B3" i="1" s="1"/>
  <c r="B3" i="7"/>
  <c r="B4" i="7" s="1"/>
  <c r="B2" i="7" s="1"/>
  <c r="B8" i="1" s="1"/>
  <c r="P8" i="1" s="1"/>
  <c r="B3" i="4"/>
  <c r="G3" i="4" s="1"/>
  <c r="D2" i="12"/>
  <c r="C12" i="1" s="1"/>
  <c r="E23" i="2" s="1"/>
  <c r="D2" i="14"/>
  <c r="C14" i="1" s="1"/>
  <c r="E27" i="2" s="1"/>
  <c r="C2" i="14"/>
  <c r="B11" i="15"/>
  <c r="H11" i="15" s="1"/>
  <c r="A22" i="2"/>
  <c r="P11" i="1"/>
  <c r="B9" i="15"/>
  <c r="H9" i="15" s="1"/>
  <c r="A18" i="2"/>
  <c r="P9" i="1"/>
  <c r="K9" i="1" s="1"/>
  <c r="L24" i="1"/>
  <c r="C2" i="6"/>
  <c r="D2" i="6"/>
  <c r="C6" i="1" s="1"/>
  <c r="E11" i="2" s="1"/>
  <c r="G3" i="5"/>
  <c r="B4" i="5"/>
  <c r="B2" i="5" s="1"/>
  <c r="B5" i="1" s="1"/>
  <c r="C11" i="5"/>
  <c r="D11" i="5"/>
  <c r="O9" i="13"/>
  <c r="O2" i="13" s="1"/>
  <c r="D5" i="13"/>
  <c r="A20" i="2"/>
  <c r="P10" i="1"/>
  <c r="B10" i="15"/>
  <c r="H10" i="15" s="1"/>
  <c r="C2" i="11"/>
  <c r="D2" i="11"/>
  <c r="C11" i="1" s="1"/>
  <c r="E21" i="2" s="1"/>
  <c r="G39" i="1"/>
  <c r="C6" i="5"/>
  <c r="D6" i="5"/>
  <c r="D34" i="1"/>
  <c r="F41" i="1"/>
  <c r="G41" i="1" s="1"/>
  <c r="D42" i="1"/>
  <c r="H41" i="1"/>
  <c r="G4" i="8"/>
  <c r="G9" i="8" s="1"/>
  <c r="D11" i="8"/>
  <c r="O15" i="8"/>
  <c r="C15" i="8" s="1"/>
  <c r="C2" i="10"/>
  <c r="D2" i="10"/>
  <c r="C10" i="1" s="1"/>
  <c r="E19" i="2" s="1"/>
  <c r="A28" i="2"/>
  <c r="B14" i="15"/>
  <c r="H14" i="15" s="1"/>
  <c r="P14" i="1"/>
  <c r="B4" i="8"/>
  <c r="B2" i="8" s="1"/>
  <c r="B7" i="1" s="1"/>
  <c r="D3" i="8"/>
  <c r="G2" i="6"/>
  <c r="L25" i="1"/>
  <c r="A12" i="2"/>
  <c r="B6" i="15"/>
  <c r="H6" i="15" s="1"/>
  <c r="P6" i="1"/>
  <c r="C11" i="9"/>
  <c r="D11" i="9"/>
  <c r="O25" i="3"/>
  <c r="D20" i="3"/>
  <c r="B13" i="15"/>
  <c r="H13" i="15" s="1"/>
  <c r="A26" i="2"/>
  <c r="P13" i="1"/>
  <c r="G4" i="9"/>
  <c r="P40" i="1"/>
  <c r="Q40" i="1"/>
  <c r="A24" i="2"/>
  <c r="P12" i="1"/>
  <c r="B12" i="15"/>
  <c r="H12" i="15" s="1"/>
  <c r="O2" i="9"/>
  <c r="O2" i="8"/>
  <c r="J2" i="1"/>
  <c r="B4" i="4" l="1"/>
  <c r="B2" i="4" s="1"/>
  <c r="B4" i="1" s="1"/>
  <c r="A8" i="2" s="1"/>
  <c r="G3" i="3"/>
  <c r="G4" i="3" s="1"/>
  <c r="G2" i="3" s="1"/>
  <c r="D2" i="7"/>
  <c r="C8" i="1" s="1"/>
  <c r="E15" i="2" s="1"/>
  <c r="A16" i="2"/>
  <c r="E16" i="2" s="1"/>
  <c r="D2" i="5"/>
  <c r="C5" i="1" s="1"/>
  <c r="E9" i="2" s="1"/>
  <c r="L23" i="1"/>
  <c r="B8" i="15"/>
  <c r="H8" i="15" s="1"/>
  <c r="I8" i="15" s="1"/>
  <c r="J8" i="15" s="1"/>
  <c r="C2" i="7"/>
  <c r="O12" i="1"/>
  <c r="G12" i="1" s="1"/>
  <c r="E28" i="2"/>
  <c r="B28" i="2"/>
  <c r="C2" i="13"/>
  <c r="D2" i="13"/>
  <c r="C13" i="1" s="1"/>
  <c r="K8" i="1"/>
  <c r="C2" i="8"/>
  <c r="D2" i="8"/>
  <c r="C7" i="1" s="1"/>
  <c r="E13" i="2" s="1"/>
  <c r="K12" i="1"/>
  <c r="B26" i="2"/>
  <c r="I14" i="15"/>
  <c r="J14" i="15" s="1"/>
  <c r="I12" i="15"/>
  <c r="J12" i="15" s="1"/>
  <c r="D25" i="3"/>
  <c r="O2" i="3"/>
  <c r="I6" i="15"/>
  <c r="J6" i="15" s="1"/>
  <c r="K14" i="1"/>
  <c r="B3" i="15"/>
  <c r="H3" i="15" s="1"/>
  <c r="A6" i="2"/>
  <c r="P3" i="1"/>
  <c r="B2" i="1"/>
  <c r="L18" i="1"/>
  <c r="L30" i="1" s="1"/>
  <c r="Q41" i="1"/>
  <c r="P41" i="1"/>
  <c r="C9" i="13"/>
  <c r="D9" i="13"/>
  <c r="B18" i="2"/>
  <c r="I11" i="15"/>
  <c r="J11" i="15" s="1"/>
  <c r="O6" i="1"/>
  <c r="G6" i="1" s="1"/>
  <c r="O10" i="1"/>
  <c r="G10" i="1" s="1"/>
  <c r="B7" i="15"/>
  <c r="H7" i="15" s="1"/>
  <c r="A14" i="2"/>
  <c r="P7" i="1"/>
  <c r="L22" i="1"/>
  <c r="I10" i="15"/>
  <c r="J10" i="15" s="1"/>
  <c r="D2" i="9"/>
  <c r="C9" i="1" s="1"/>
  <c r="E24" i="2"/>
  <c r="B24" i="2"/>
  <c r="I13" i="15"/>
  <c r="J13" i="15" s="1"/>
  <c r="E12" i="2"/>
  <c r="B12" i="2"/>
  <c r="E20" i="2"/>
  <c r="B20" i="2"/>
  <c r="G6" i="5"/>
  <c r="G4" i="5"/>
  <c r="K11" i="1"/>
  <c r="G6" i="9"/>
  <c r="G2" i="9" s="1"/>
  <c r="C2" i="9" s="1"/>
  <c r="O14" i="1"/>
  <c r="G14" i="1" s="1"/>
  <c r="K13" i="1"/>
  <c r="E22" i="2"/>
  <c r="B22" i="2"/>
  <c r="G4" i="4"/>
  <c r="G16" i="4"/>
  <c r="D43" i="1"/>
  <c r="H42" i="1"/>
  <c r="F42" i="1"/>
  <c r="K10" i="1"/>
  <c r="B5" i="15"/>
  <c r="H5" i="15" s="1"/>
  <c r="P5" i="1"/>
  <c r="A10" i="2"/>
  <c r="L20" i="1"/>
  <c r="I9" i="15"/>
  <c r="J9" i="15" s="1"/>
  <c r="K6" i="1"/>
  <c r="G2" i="8"/>
  <c r="O11" i="1"/>
  <c r="G11" i="1" s="1"/>
  <c r="B16" i="2" l="1"/>
  <c r="O8" i="1"/>
  <c r="G8" i="1" s="1"/>
  <c r="B4" i="15"/>
  <c r="H4" i="15" s="1"/>
  <c r="P4" i="1"/>
  <c r="K4" i="1" s="1"/>
  <c r="D2" i="4"/>
  <c r="C4" i="1" s="1"/>
  <c r="E7" i="2" s="1"/>
  <c r="E8" i="2" s="1"/>
  <c r="L19" i="1"/>
  <c r="O5" i="1"/>
  <c r="O7" i="1"/>
  <c r="G7" i="1" s="1"/>
  <c r="O4" i="1"/>
  <c r="D22" i="2"/>
  <c r="D21" i="2" s="1"/>
  <c r="H11" i="1"/>
  <c r="H14" i="1"/>
  <c r="D28" i="2"/>
  <c r="D27" i="2" s="1"/>
  <c r="H6" i="1"/>
  <c r="D12" i="2"/>
  <c r="D11" i="2" s="1"/>
  <c r="C2" i="3"/>
  <c r="D2" i="3"/>
  <c r="C3" i="1" s="1"/>
  <c r="E10" i="2"/>
  <c r="B10" i="2"/>
  <c r="P42" i="1"/>
  <c r="Q42" i="1"/>
  <c r="I7" i="15"/>
  <c r="J7" i="15" s="1"/>
  <c r="G5" i="1"/>
  <c r="K5" i="1"/>
  <c r="H43" i="1"/>
  <c r="F43" i="1"/>
  <c r="G43" i="1" s="1"/>
  <c r="D44" i="1"/>
  <c r="E17" i="2"/>
  <c r="E18" i="2" s="1"/>
  <c r="O9" i="1"/>
  <c r="G9" i="1" s="1"/>
  <c r="B6" i="2"/>
  <c r="I4" i="15"/>
  <c r="J4" i="15" s="1"/>
  <c r="G42" i="1"/>
  <c r="E14" i="2"/>
  <c r="B14" i="2"/>
  <c r="P2" i="1"/>
  <c r="M5" i="1" s="1"/>
  <c r="K3" i="1"/>
  <c r="H12" i="1"/>
  <c r="D24" i="2"/>
  <c r="D23" i="2" s="1"/>
  <c r="H8" i="1"/>
  <c r="D16" i="2"/>
  <c r="D15" i="2" s="1"/>
  <c r="G2" i="4"/>
  <c r="C2" i="4" s="1"/>
  <c r="G2" i="5"/>
  <c r="C2" i="5" s="1"/>
  <c r="D20" i="2"/>
  <c r="D19" i="2" s="1"/>
  <c r="H10" i="1"/>
  <c r="B8" i="2"/>
  <c r="I5" i="15"/>
  <c r="J5" i="15" s="1"/>
  <c r="K7" i="1"/>
  <c r="H22" i="15"/>
  <c r="I3" i="15"/>
  <c r="I22" i="15" s="1"/>
  <c r="E25" i="2"/>
  <c r="E26" i="2" s="1"/>
  <c r="O13" i="1"/>
  <c r="G13" i="1" s="1"/>
  <c r="G4" i="1" l="1"/>
  <c r="H4" i="1" s="1"/>
  <c r="D26" i="2"/>
  <c r="D25" i="2" s="1"/>
  <c r="H13" i="1"/>
  <c r="F44" i="1"/>
  <c r="D45" i="1"/>
  <c r="H44" i="1"/>
  <c r="N7" i="1"/>
  <c r="B29" i="2"/>
  <c r="H9" i="1"/>
  <c r="D18" i="2"/>
  <c r="D17" i="2" s="1"/>
  <c r="P43" i="1"/>
  <c r="Q43" i="1"/>
  <c r="D10" i="2"/>
  <c r="D9" i="2" s="1"/>
  <c r="H5" i="1"/>
  <c r="D14" i="2"/>
  <c r="D13" i="2" s="1"/>
  <c r="H7" i="1"/>
  <c r="B58" i="1"/>
  <c r="H2" i="1"/>
  <c r="D30" i="2" s="1"/>
  <c r="G2" i="1"/>
  <c r="E2" i="1"/>
  <c r="N12" i="1"/>
  <c r="M9" i="1"/>
  <c r="M11" i="1"/>
  <c r="N6" i="1"/>
  <c r="N10" i="1"/>
  <c r="M13" i="1"/>
  <c r="N11" i="1"/>
  <c r="M8" i="1"/>
  <c r="M14" i="1"/>
  <c r="N8" i="1"/>
  <c r="N14" i="1"/>
  <c r="K2" i="1"/>
  <c r="N9" i="1"/>
  <c r="M6" i="1"/>
  <c r="M10" i="1"/>
  <c r="M12" i="1"/>
  <c r="N13" i="1"/>
  <c r="E5" i="2"/>
  <c r="E6" i="2" s="1"/>
  <c r="E29" i="2" s="1"/>
  <c r="O3" i="1"/>
  <c r="N4" i="1"/>
  <c r="J3" i="15"/>
  <c r="J22" i="15" s="1"/>
  <c r="M7" i="1"/>
  <c r="N3" i="1"/>
  <c r="M3" i="1"/>
  <c r="M4" i="1"/>
  <c r="N5" i="1"/>
  <c r="D8" i="2" l="1"/>
  <c r="D7" i="2" s="1"/>
  <c r="P44" i="1"/>
  <c r="Q44" i="1"/>
  <c r="E58" i="1"/>
  <c r="E34" i="1" s="1"/>
  <c r="B34" i="1" s="1"/>
  <c r="H34" i="1" s="1"/>
  <c r="N58" i="1"/>
  <c r="G44" i="1"/>
  <c r="O2" i="1"/>
  <c r="G3" i="1"/>
  <c r="F45" i="1"/>
  <c r="G45" i="1" s="1"/>
  <c r="D46" i="1"/>
  <c r="H45" i="1"/>
  <c r="D47" i="1" l="1"/>
  <c r="H46" i="1"/>
  <c r="F46" i="1"/>
  <c r="G46" i="1" s="1"/>
  <c r="Q45" i="1"/>
  <c r="P45" i="1"/>
  <c r="H3" i="1"/>
  <c r="D6" i="2"/>
  <c r="D5" i="2" l="1"/>
  <c r="D29" i="2"/>
  <c r="C29" i="2" s="1"/>
  <c r="H47" i="1"/>
  <c r="F47" i="1"/>
  <c r="D48" i="1"/>
  <c r="P46" i="1"/>
  <c r="Q46" i="1"/>
  <c r="F48" i="1" l="1"/>
  <c r="G48" i="1" s="1"/>
  <c r="D49" i="1"/>
  <c r="H48" i="1"/>
  <c r="E3" i="2"/>
  <c r="C30" i="2"/>
  <c r="B30" i="2"/>
  <c r="P47" i="1"/>
  <c r="Q47" i="1"/>
  <c r="G47" i="1"/>
  <c r="F49" i="1" l="1"/>
  <c r="D50" i="1"/>
  <c r="H49" i="1"/>
  <c r="P48" i="1"/>
  <c r="Q48" i="1"/>
  <c r="D51" i="1" l="1"/>
  <c r="H50" i="1"/>
  <c r="F50" i="1"/>
  <c r="G50" i="1" s="1"/>
  <c r="G49" i="1"/>
  <c r="G34" i="1" s="1"/>
  <c r="F34" i="1"/>
  <c r="Q49" i="1"/>
  <c r="P49" i="1"/>
  <c r="H51" i="1" l="1"/>
  <c r="F51" i="1"/>
  <c r="G51" i="1" s="1"/>
  <c r="D52" i="1"/>
  <c r="P50" i="1"/>
  <c r="Q50" i="1"/>
  <c r="P51" i="1" l="1"/>
  <c r="Q51" i="1"/>
  <c r="F52" i="1"/>
  <c r="G52" i="1" s="1"/>
  <c r="D53" i="1"/>
  <c r="H52" i="1"/>
  <c r="P52" i="1" l="1"/>
  <c r="Q52" i="1"/>
  <c r="F53" i="1"/>
  <c r="G53" i="1" s="1"/>
  <c r="D54" i="1"/>
  <c r="H53" i="1"/>
  <c r="P53" i="1" l="1"/>
  <c r="Q53" i="1"/>
  <c r="F54" i="1"/>
  <c r="G54" i="1" s="1"/>
  <c r="D55" i="1"/>
  <c r="H54" i="1"/>
  <c r="P54" i="1" l="1"/>
  <c r="Q54" i="1"/>
  <c r="F55" i="1"/>
  <c r="G55" i="1" s="1"/>
  <c r="D56" i="1"/>
  <c r="H55" i="1"/>
  <c r="P55" i="1" l="1"/>
  <c r="Q55" i="1"/>
  <c r="F56" i="1"/>
  <c r="G56" i="1" s="1"/>
  <c r="D57" i="1"/>
  <c r="H56" i="1"/>
  <c r="Q56" i="1" l="1"/>
  <c r="P56" i="1"/>
  <c r="H57" i="1"/>
  <c r="D58" i="1"/>
  <c r="F57" i="1"/>
  <c r="G57" i="1" s="1"/>
  <c r="Q57" i="1" l="1"/>
  <c r="P57" i="1"/>
  <c r="F58" i="1"/>
  <c r="G58" i="1" s="1"/>
  <c r="H58" i="1"/>
  <c r="P58" i="1" l="1"/>
  <c r="Q58" i="1"/>
</calcChain>
</file>

<file path=xl/comments1.xml><?xml version="1.0" encoding="utf-8"?>
<comments xmlns="http://schemas.openxmlformats.org/spreadsheetml/2006/main">
  <authors>
    <author/>
  </authors>
  <commentList>
    <comment ref="Q2" authorId="0" shapeId="0">
      <text>
        <r>
          <rPr>
            <sz val="10"/>
            <color rgb="FF000000"/>
            <rFont val="Arial"/>
          </rPr>
          <t>8,8</t>
        </r>
      </text>
    </comment>
    <comment ref="C17" authorId="0" shapeId="0">
      <text>
        <r>
          <rPr>
            <sz val="10"/>
            <color rgb="FF000000"/>
            <rFont val="Arial"/>
          </rPr>
          <t>DY: Dividendo pago por ação dividido pelo preço da ação. É o rendimento gerado para o dono da ação pelo pagamento de dividendos.</t>
        </r>
      </text>
    </comment>
    <comment ref="E17" authorId="0" shapeId="0">
      <text>
        <r>
          <rPr>
            <sz val="10"/>
            <color rgb="FF000000"/>
            <rFont val="Arial"/>
          </rPr>
          <t xml:space="preserve">Como é calculado o preço justo?
O preço justo da ação é obtido através do método de fluxo de caixa descontado. Esta metodologia de avaliação tem como base a projeção dos lucros futuros da companhia para um determinado período de tempo.
O fluxo de caixa consiste no conjunto de receitas e despesas ao longo do período projetado. Ele representa a situação financeira da empresa, e por sua importância é dele que se extrai o valor da empresa ou preço justo da ação. Esse método é popularmente utilizado por investidores, analistas financeiros e profissionais do mercado de ações.
http://goo.gl/usNaTJ
</t>
        </r>
      </text>
    </comment>
    <comment ref="F17" authorId="0" shapeId="0">
      <text>
        <r>
          <rPr>
            <sz val="10"/>
            <color rgb="FF000000"/>
            <rFont val="Arial"/>
          </rPr>
          <t>Lucro por ação, é a relação entre o lucro/prejuízo líquido do exercício com o número de ações emitidas pela empresa.</t>
        </r>
      </text>
    </comment>
    <comment ref="G17" authorId="0" shapeId="0">
      <text>
        <r>
          <rPr>
            <sz val="10"/>
            <color rgb="FF000000"/>
            <rFont val="Arial"/>
          </rPr>
          <t>Relação entre os dividendos pagos nos últimos 12 meses e a quantidade de ações emitidas pela empresa.</t>
        </r>
      </text>
    </comment>
    <comment ref="H17" authorId="0" shapeId="0">
      <text>
        <r>
          <rPr>
            <sz val="10"/>
            <color rgb="FF000000"/>
            <rFont val="Arial"/>
          </rPr>
          <t>Preço da ação dividido pelo lucro por ação. O P/L é o número de anos que se levaria para reaver o capital aplicado na compra de uma ação, através do recebimento do lucro gerado pela empresa, considerando que esses lucros permaneçam constantes.</t>
        </r>
      </text>
    </comment>
    <comment ref="J17" authorId="0" shapeId="0">
      <text>
        <r>
          <rPr>
            <sz val="10"/>
            <color rgb="FF000000"/>
            <rFont val="Arial"/>
          </rPr>
          <t>O earnings yield ou rendimento dos resultados, é o quociente dos resultados por acção (EPS) divididos pela cotação, ou alternativamente, dos resultados líquidos divididos pela capitalização bolsista.
http://goo.gl/dhmp62</t>
        </r>
      </text>
    </comment>
    <comment ref="I34" authorId="0" shapeId="0">
      <text>
        <r>
          <rPr>
            <sz val="10"/>
            <color rgb="FF000000"/>
            <rFont val="Arial"/>
          </rPr>
          <t>51.150,16: valor inicial do Ibovespa em março de 2015 como referência para cálculo da variação mensal.</t>
        </r>
      </text>
    </comment>
    <comment ref="C39" authorId="0" shapeId="0">
      <text>
        <r>
          <rPr>
            <sz val="10"/>
            <color rgb="FF000000"/>
            <rFont val="Arial"/>
          </rPr>
          <t>Salário mínimo R$ 788,00</t>
        </r>
      </text>
    </comment>
    <comment ref="M48" authorId="0" shapeId="0">
      <text>
        <r>
          <rPr>
            <sz val="10"/>
            <color rgb="FF000000"/>
            <rFont val="Arial"/>
          </rPr>
          <t>bbdc4: 0,60
bbas3: 32,98
bvmf3: 16,06
BBAS3: 62,31
cgas5: 29,41
cgas5: 39,69
bvmf3: 22,49</t>
        </r>
      </text>
    </comment>
    <comment ref="M49" authorId="0" shapeId="0">
      <text>
        <r>
          <rPr>
            <sz val="10"/>
            <color rgb="FF000000"/>
            <rFont val="Arial"/>
          </rPr>
          <t>BBDC: 0,60</t>
        </r>
      </text>
    </comment>
    <comment ref="M50" authorId="0" shapeId="0">
      <text>
        <r>
          <rPr>
            <sz val="10"/>
            <color rgb="FF000000"/>
            <rFont val="Arial"/>
          </rPr>
          <t>BBDC: 0,60
CGAS: 260,48</t>
        </r>
      </text>
    </comment>
    <comment ref="M51" authorId="0" shapeId="0">
      <text>
        <r>
          <rPr>
            <sz val="10"/>
            <color rgb="FF000000"/>
            <rFont val="Arial"/>
          </rPr>
          <t xml:space="preserve">BBAS3: 22,31 JCP
BBDC4: 0,60 JCP
BBSE3: 58,34 JCP 
CIL3: 7,04 DIV + 2,45 JCP 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8" authorId="0" shapeId="0">
      <text>
        <r>
          <rPr>
            <sz val="10"/>
            <color rgb="FF000000"/>
            <rFont val="Arial"/>
          </rPr>
          <t>http://goo.gl/s7bdiv</t>
        </r>
      </text>
    </comment>
    <comment ref="J9" authorId="0" shapeId="0">
      <text>
        <r>
          <rPr>
            <sz val="10"/>
            <color rgb="FF000000"/>
            <rFont val="Arial"/>
          </rPr>
          <t>http://goo.gl/kv9lXw</t>
        </r>
      </text>
    </comment>
    <comment ref="H11" authorId="0" shapeId="0">
      <text>
        <r>
          <rPr>
            <sz val="10"/>
            <color rgb="FF000000"/>
            <rFont val="Arial"/>
          </rPr>
          <t xml:space="preserve">
http://goo.gl/VdMjr3</t>
        </r>
      </text>
    </comment>
    <comment ref="J11" authorId="0" shapeId="0">
      <text>
        <r>
          <rPr>
            <sz val="10"/>
            <color rgb="FF000000"/>
            <rFont val="Arial"/>
          </rPr>
          <t>http://goo.gl/VdMjr3</t>
        </r>
      </text>
    </comment>
    <comment ref="J12" authorId="0" shapeId="0">
      <text>
        <r>
          <rPr>
            <sz val="10"/>
            <color rgb="FF000000"/>
            <rFont val="Arial"/>
          </rPr>
          <t>JCP: 178*0,26607802608
http://goo.gl/cY0z3n</t>
        </r>
      </text>
    </comment>
    <comment ref="H15" authorId="0" shapeId="0">
      <text>
        <r>
          <rPr>
            <sz val="10"/>
            <color rgb="FF000000"/>
            <rFont val="Arial"/>
          </rPr>
          <t>http://goo.gl/Go3CGK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9" authorId="0" shapeId="0">
      <text>
        <r>
          <rPr>
            <sz val="10"/>
            <color rgb="FF000000"/>
            <rFont val="Arial"/>
          </rPr>
          <t>http://goo.gl/5IAOFa</t>
        </r>
      </text>
    </comment>
    <comment ref="J12" authorId="0" shapeId="0">
      <text>
        <r>
          <rPr>
            <sz val="10"/>
            <color rgb="FF000000"/>
            <rFont val="Arial"/>
          </rPr>
          <t>http://goo.gl/W2ORyg</t>
        </r>
      </text>
    </comment>
    <comment ref="J13" authorId="0" shapeId="0">
      <text>
        <r>
          <rPr>
            <sz val="10"/>
            <color rgb="FF000000"/>
            <rFont val="Arial"/>
          </rPr>
          <t>http://goo.gl/cl6hK6</t>
        </r>
      </text>
    </comment>
    <comment ref="J15" authorId="0" shapeId="0">
      <text>
        <r>
          <rPr>
            <sz val="10"/>
            <color rgb="FF000000"/>
            <rFont val="Arial"/>
          </rPr>
          <t>http://dividendobr.com/i.php?w=emdJTlRVdGZXbUp3ZWNTSWtlLzJXNTNwbVlaeWI3R0lCQUFhbE9kMUJGTT0=</t>
        </r>
      </text>
    </comment>
    <comment ref="J17" authorId="0" shapeId="0">
      <text>
        <r>
          <rPr>
            <sz val="10"/>
            <color rgb="FF000000"/>
            <rFont val="Arial"/>
          </rPr>
          <t>http://goo.gl/KE5ibR</t>
        </r>
      </text>
    </comment>
    <comment ref="J18" authorId="0" shapeId="0">
      <text>
        <r>
          <rPr>
            <sz val="10"/>
            <color rgb="FF000000"/>
            <rFont val="Arial"/>
          </rPr>
          <t>http://goo.gl/gqJUbP</t>
        </r>
      </text>
    </comment>
    <comment ref="J21" authorId="0" shapeId="0">
      <text>
        <r>
          <rPr>
            <sz val="10"/>
            <color rgb="FF000000"/>
            <rFont val="Arial"/>
          </rPr>
          <t xml:space="preserve">http://goo.gl/R5dZUj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H7" authorId="0" shapeId="0">
      <text>
        <r>
          <rPr>
            <sz val="10"/>
            <color rgb="FF000000"/>
            <rFont val="Arial"/>
          </rPr>
          <t>http://goo.gl/x3mcb7</t>
        </r>
      </text>
    </comment>
    <comment ref="J9" authorId="0" shapeId="0">
      <text>
        <r>
          <rPr>
            <sz val="10"/>
            <color rgb="FF000000"/>
            <rFont val="Arial"/>
          </rPr>
          <t>http://goo.gl/KMuaBY</t>
        </r>
      </text>
    </comment>
    <comment ref="H10" authorId="0" shapeId="0">
      <text>
        <r>
          <rPr>
            <sz val="10"/>
            <color rgb="FF000000"/>
            <rFont val="Arial"/>
          </rPr>
          <t>http://goo.gl/Px7iVr</t>
        </r>
      </text>
    </comment>
    <comment ref="J11" authorId="0" shapeId="0">
      <text>
        <r>
          <rPr>
            <sz val="10"/>
            <color rgb="FF000000"/>
            <rFont val="Arial"/>
          </rPr>
          <t>http://goo.gl/OR6LGU</t>
        </r>
      </text>
    </comment>
    <comment ref="C13" authorId="0" shapeId="0">
      <text>
        <r>
          <rPr>
            <sz val="10"/>
            <color rgb="FF000000"/>
            <rFont val="Arial"/>
          </rPr>
          <t>O preço pago, para cálculo do lucro, é o preço médio da ação.</t>
        </r>
      </text>
    </comment>
    <comment ref="J15" authorId="0" shapeId="0">
      <text>
        <r>
          <rPr>
            <sz val="10"/>
            <color rgb="FF000000"/>
            <rFont val="Arial"/>
          </rPr>
          <t>http://goo.gl/ow5IlT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H6" authorId="0" shapeId="0">
      <text>
        <r>
          <rPr>
            <sz val="10"/>
            <color rgb="FF000000"/>
            <rFont val="Arial"/>
          </rPr>
          <t>http://goo.gl/36DLHJ</t>
        </r>
      </text>
    </comment>
    <comment ref="J6" authorId="0" shapeId="0">
      <text>
        <r>
          <rPr>
            <sz val="10"/>
            <color rgb="FF000000"/>
            <rFont val="Arial"/>
          </rPr>
          <t>http://goo.gl/36DLHJ</t>
        </r>
      </text>
    </comment>
    <comment ref="H10" authorId="0" shapeId="0">
      <text>
        <r>
          <rPr>
            <sz val="10"/>
            <color rgb="FF000000"/>
            <rFont val="Arial"/>
          </rPr>
          <t>http://goo.gl/XeFruA</t>
        </r>
      </text>
    </comment>
    <comment ref="J10" authorId="0" shapeId="0">
      <text>
        <r>
          <rPr>
            <sz val="10"/>
            <color rgb="FF000000"/>
            <rFont val="Arial"/>
          </rPr>
          <t>http://goo.gl/XeFruA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H8" authorId="0" shapeId="0">
      <text>
        <r>
          <rPr>
            <sz val="10"/>
            <color rgb="FF000000"/>
            <rFont val="Arial"/>
          </rPr>
          <t>http://goo.gl/b8VKNG</t>
        </r>
      </text>
    </comment>
    <comment ref="J8" authorId="0" shapeId="0">
      <text>
        <r>
          <rPr>
            <sz val="10"/>
            <color rgb="FF000000"/>
            <rFont val="Arial"/>
          </rPr>
          <t>http://goo.gl/b8VKNG</t>
        </r>
      </text>
    </comment>
    <comment ref="H10" authorId="0" shapeId="0">
      <text>
        <r>
          <rPr>
            <sz val="10"/>
            <color rgb="FF000000"/>
            <rFont val="Arial"/>
          </rPr>
          <t>http://goo.gl/431OsU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H11" authorId="0" shapeId="0">
      <text>
        <r>
          <rPr>
            <sz val="10"/>
            <color rgb="FF000000"/>
            <rFont val="Arial"/>
          </rPr>
          <t>http://goo.gl/ZSVI9W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J10" authorId="0" shapeId="0">
      <text>
        <r>
          <rPr>
            <sz val="10"/>
            <color rgb="FF000000"/>
            <rFont val="Arial"/>
          </rPr>
          <t>http://goo.gl/dPek1m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5" authorId="0" shapeId="0">
      <text>
        <r>
          <rPr>
            <sz val="10"/>
            <color rgb="FF000000"/>
            <rFont val="Arial"/>
          </rPr>
          <t xml:space="preserve">Calendário do mercado:
http://goo.gl/b26tH
</t>
        </r>
      </text>
    </comment>
  </commentList>
</comments>
</file>

<file path=xl/sharedStrings.xml><?xml version="1.0" encoding="utf-8"?>
<sst xmlns="http://schemas.openxmlformats.org/spreadsheetml/2006/main" count="309" uniqueCount="123">
  <si>
    <t>BBAS3</t>
  </si>
  <si>
    <t>Custódia</t>
  </si>
  <si>
    <t>Ibov</t>
  </si>
  <si>
    <t>Preço</t>
  </si>
  <si>
    <t>Preço Médio</t>
  </si>
  <si>
    <t>Preço de Venda</t>
  </si>
  <si>
    <t>Corretagem</t>
  </si>
  <si>
    <t>Emolumentos</t>
  </si>
  <si>
    <t>Dividendos</t>
  </si>
  <si>
    <t>Rendimentos</t>
  </si>
  <si>
    <t>Juros SCP</t>
  </si>
  <si>
    <t>Aluguel de Ações</t>
  </si>
  <si>
    <t>Prov. Ativos</t>
  </si>
  <si>
    <t>Lucros e Prejuízos</t>
  </si>
  <si>
    <t>Total de Proventos</t>
  </si>
  <si>
    <t>Custo</t>
  </si>
  <si>
    <t>BR20</t>
  </si>
  <si>
    <t>Dólar</t>
  </si>
  <si>
    <t>Cart / US$</t>
  </si>
  <si>
    <t>Ações</t>
  </si>
  <si>
    <t>Hoje</t>
  </si>
  <si>
    <t>Cotação</t>
  </si>
  <si>
    <t>Lucro</t>
  </si>
  <si>
    <t>Simulação</t>
  </si>
  <si>
    <t>Variação do Dia</t>
  </si>
  <si>
    <t>Lucro do   Dia</t>
  </si>
  <si>
    <t>% do Lucro</t>
  </si>
  <si>
    <t>Tendência</t>
  </si>
  <si>
    <t>Proventos</t>
  </si>
  <si>
    <t>% Proventos</t>
  </si>
  <si>
    <t>Posição necessária</t>
  </si>
  <si>
    <t>Posição Atual</t>
  </si>
  <si>
    <t>% do Necessário</t>
  </si>
  <si>
    <t>Invest.</t>
  </si>
  <si>
    <t>Valor de Mercado</t>
  </si>
  <si>
    <t>Simulações</t>
  </si>
  <si>
    <t>%</t>
  </si>
  <si>
    <t>Total</t>
  </si>
  <si>
    <t>Percent.</t>
  </si>
  <si>
    <t>BBDC4</t>
  </si>
  <si>
    <t>BBSE3</t>
  </si>
  <si>
    <t>CMIG3</t>
  </si>
  <si>
    <t>Bonificação</t>
  </si>
  <si>
    <t>PSSA3</t>
  </si>
  <si>
    <t>Tx Repasse BTC</t>
  </si>
  <si>
    <t>DPA</t>
  </si>
  <si>
    <t>DY</t>
  </si>
  <si>
    <t>Payout</t>
  </si>
  <si>
    <t>Preço Justo</t>
  </si>
  <si>
    <t>LPA</t>
  </si>
  <si>
    <t>VPA</t>
  </si>
  <si>
    <t>PL</t>
  </si>
  <si>
    <t>P/VPA</t>
  </si>
  <si>
    <t>EY</t>
  </si>
  <si>
    <t>ROE</t>
  </si>
  <si>
    <t>Expec. de Proventos</t>
  </si>
  <si>
    <t>Menor Preço (52w)</t>
  </si>
  <si>
    <t>Maior Preço (52w)</t>
  </si>
  <si>
    <t>Nº de ações milhões</t>
  </si>
  <si>
    <t>Valor em milhões</t>
  </si>
  <si>
    <t>BVMF3</t>
  </si>
  <si>
    <t>CIEL3</t>
  </si>
  <si>
    <t>Preço Pago</t>
  </si>
  <si>
    <t>Fração de bonificação</t>
  </si>
  <si>
    <t>CGAS5</t>
  </si>
  <si>
    <t>ELPL4</t>
  </si>
  <si>
    <t>PETR4</t>
  </si>
  <si>
    <t>-%</t>
  </si>
  <si>
    <t>PRML3</t>
  </si>
  <si>
    <t>Carateira</t>
  </si>
  <si>
    <t>Aporte Mensal</t>
  </si>
  <si>
    <t>Aportes</t>
  </si>
  <si>
    <t>Rend. Acumulados</t>
  </si>
  <si>
    <t>Cotas</t>
  </si>
  <si>
    <t>Valor da Cota</t>
  </si>
  <si>
    <t>Ibov: mar/15</t>
  </si>
  <si>
    <t>Lucros s/ Operações</t>
  </si>
  <si>
    <t>Valorização da Carteira</t>
  </si>
  <si>
    <t>US$</t>
  </si>
  <si>
    <t>Grupamento</t>
  </si>
  <si>
    <t>Saiba mais:</t>
  </si>
  <si>
    <t>TIMP3</t>
  </si>
  <si>
    <t>Carteira</t>
  </si>
  <si>
    <t>Aporte</t>
  </si>
  <si>
    <t>Valor Cota</t>
  </si>
  <si>
    <t>Ibovespa</t>
  </si>
  <si>
    <t>IPCA</t>
  </si>
  <si>
    <t>CDI</t>
  </si>
  <si>
    <t>Valorização</t>
  </si>
  <si>
    <t>Cart x Ibov</t>
  </si>
  <si>
    <t>Mar-2015</t>
  </si>
  <si>
    <t>Papel</t>
  </si>
  <si>
    <t>Quantidade</t>
  </si>
  <si>
    <t>Data do Registro</t>
  </si>
  <si>
    <t>Data do Vencimento</t>
  </si>
  <si>
    <t>Valor da Ação</t>
  </si>
  <si>
    <t>Taxa de Juros</t>
  </si>
  <si>
    <t>Dias Útéis</t>
  </si>
  <si>
    <t>Bruto</t>
  </si>
  <si>
    <t>IR</t>
  </si>
  <si>
    <t>Líquido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</si>
  <si>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</si>
  <si>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</si>
  <si>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</si>
  <si>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</si>
  <si>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</si>
  <si>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</si>
  <si>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</si>
  <si>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</si>
  <si>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</si>
  <si>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</si>
  <si>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Feriados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</si>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</sst>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d&quot;-&quot;mmm&quot;-&quot;yyyy"/>
    <numFmt numFmtId="165" formatCode="hh&quot;:&quot;mm"/>
    <numFmt numFmtId="166" formatCode="[$R$ -416]#,##0.00"/>
    <numFmt numFmtId="167" formatCode="d\-mmm\-yyyy"/>
    <numFmt numFmtId="168" formatCode="0.0000"/>
    <numFmt numFmtId="169" formatCode="#,##0.0000"/>
    <numFmt numFmtId="170" formatCode="[$R$ -416]#,##0.000"/>
  </numFmts>
  <fonts count="54">
    <font>
      <sz val="10"/>
      <color rgb="FF000000"/>
      <name val="Arial"/>
    </font>
    <font>
      <b/>
      <sz val="10"/>
      <color rgb="FF000000"/>
      <name val="Arial"/>
    </font>
    <font>
      <b/>
      <sz val="9"/>
      <color rgb="FFFFFFFF"/>
      <name val="Calibri"/>
    </font>
    <font>
      <sz val="10"/>
      <color rgb="FFFFFF99"/>
      <name val="Arial"/>
    </font>
    <font>
      <b/>
      <sz val="11"/>
      <color rgb="FFF3F3F3"/>
      <name val="Calibri"/>
    </font>
    <font>
      <b/>
      <sz val="10"/>
      <color rgb="FFF3F3F3"/>
      <name val="Calibri"/>
    </font>
    <font>
      <b/>
      <sz val="10"/>
      <color rgb="FFFFFFFF"/>
      <name val="Calibri"/>
    </font>
    <font>
      <sz val="10"/>
      <color rgb="FFFFFF99"/>
      <name val="Georgia"/>
    </font>
    <font>
      <sz val="11"/>
      <color rgb="FF999999"/>
      <name val="Calibri"/>
    </font>
    <font>
      <sz val="10"/>
      <color rgb="FF999999"/>
      <name val="Calibri"/>
    </font>
    <font>
      <b/>
      <sz val="11"/>
      <color rgb="FF000000"/>
      <name val="Calibri"/>
    </font>
    <font>
      <sz val="11"/>
      <color rgb="FF1155CC"/>
      <name val="Calibri"/>
    </font>
    <font>
      <sz val="10"/>
      <color rgb="FF274E13"/>
      <name val="Calibri"/>
    </font>
    <font>
      <sz val="11"/>
      <color rgb="FF000000"/>
      <name val="Calibri"/>
    </font>
    <font>
      <b/>
      <sz val="10"/>
      <color rgb="FF0000FF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9"/>
      <color rgb="FF000000"/>
      <name val="Calibri"/>
    </font>
    <font>
      <sz val="8"/>
      <color rgb="FF1155CC"/>
      <name val="Calibri"/>
    </font>
    <font>
      <b/>
      <sz val="9"/>
      <color rgb="FF0000FF"/>
      <name val="Calibri"/>
    </font>
    <font>
      <b/>
      <sz val="10"/>
      <color rgb="FF0000FF"/>
      <name val="Arial"/>
    </font>
    <font>
      <sz val="10"/>
      <name val="Calibri"/>
    </font>
    <font>
      <b/>
      <sz val="10"/>
      <color rgb="FFFFFFFF"/>
      <name val="Arial"/>
    </font>
    <font>
      <b/>
      <sz val="10"/>
      <color rgb="FF1C4587"/>
      <name val="Arial"/>
    </font>
    <font>
      <sz val="11"/>
      <color rgb="FFA61D4C"/>
      <name val="Calibri"/>
    </font>
    <font>
      <sz val="11"/>
      <color rgb="FFF7981D"/>
      <name val="Calibri"/>
    </font>
    <font>
      <b/>
      <sz val="11"/>
      <color rgb="FF0000FF"/>
      <name val="Calibri"/>
    </font>
    <font>
      <b/>
      <sz val="11"/>
      <color rgb="FF1C4587"/>
      <name val="Calibri"/>
    </font>
    <font>
      <b/>
      <sz val="11"/>
      <color rgb="FFEFEFEF"/>
      <name val="Calibri"/>
    </font>
    <font>
      <sz val="11"/>
      <name val="Calibri"/>
    </font>
    <font>
      <b/>
      <sz val="9"/>
      <color rgb="FF31C888"/>
      <name val="Calibri"/>
    </font>
    <font>
      <sz val="10"/>
      <color rgb="FFFFFFFF"/>
      <name val="Arial"/>
    </font>
    <font>
      <b/>
      <sz val="9"/>
      <color rgb="FFEFEFEF"/>
      <name val="Calibri"/>
    </font>
    <font>
      <sz val="11"/>
      <color rgb="FF000000"/>
      <name val="Inconsolata"/>
    </font>
    <font>
      <b/>
      <sz val="9"/>
      <color rgb="FFCCCCCC"/>
      <name val="Calibri"/>
    </font>
    <font>
      <sz val="10"/>
      <color rgb="FFF7981D"/>
      <name val="Calibri"/>
    </font>
    <font>
      <sz val="10"/>
      <color rgb="FF1155CC"/>
      <name val="Calibri"/>
    </font>
    <font>
      <sz val="10"/>
      <color rgb="FFA61D4C"/>
      <name val="Calibri"/>
    </font>
    <font>
      <sz val="11"/>
      <color rgb="FFF7981D"/>
      <name val="Arial"/>
    </font>
    <font>
      <sz val="11"/>
      <color rgb="FF1155CC"/>
      <name val="Arial"/>
    </font>
    <font>
      <sz val="10"/>
      <name val="Arial"/>
    </font>
    <font>
      <sz val="11"/>
      <color rgb="FFA61D4C"/>
      <name val="Arial"/>
    </font>
    <font>
      <sz val="10"/>
      <color rgb="FFD9D9D9"/>
      <name val="Arial"/>
    </font>
    <font>
      <b/>
      <sz val="10"/>
      <color rgb="FFFFFF00"/>
      <name val="Arial"/>
    </font>
    <font>
      <b/>
      <sz val="12"/>
      <color rgb="FFFFFFFF"/>
      <name val="Calibri"/>
    </font>
    <font>
      <sz val="10"/>
      <color rgb="FFFFFF00"/>
      <name val="Arial"/>
    </font>
    <font>
      <b/>
      <sz val="10"/>
      <color rgb="FFFFF2CC"/>
      <name val="Arial"/>
    </font>
    <font>
      <sz val="10"/>
      <name val="Arial"/>
    </font>
    <font>
      <b/>
      <sz val="10"/>
      <name val="Arial"/>
    </font>
    <font>
      <b/>
      <sz val="10"/>
      <color rgb="FF0000FF"/>
      <name val="Arial"/>
    </font>
    <font>
      <b/>
      <sz val="10"/>
      <color rgb="FFFFFF00"/>
      <name val="Arial"/>
    </font>
    <font>
      <sz val="10"/>
      <color theme="0"/>
      <name val="Arial"/>
      <family val="2"/>
    </font>
    <font>
      <b/>
      <sz val="11"/>
      <color theme="0"/>
      <name val="Inconsolata"/>
    </font>
    <font>
      <b/>
      <u/>
      <sz val="10"/>
      <color theme="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000080"/>
        <bgColor rgb="FF000080"/>
      </patternFill>
    </fill>
    <fill>
      <patternFill patternType="solid">
        <fgColor rgb="FFA4C2F4"/>
        <bgColor rgb="FFA4C2F4"/>
      </patternFill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F1FA"/>
        <bgColor rgb="FFEFF1FA"/>
      </patternFill>
    </fill>
    <fill>
      <patternFill patternType="solid">
        <fgColor rgb="FFFF0000"/>
        <bgColor rgb="FFFF0000"/>
      </patternFill>
    </fill>
    <fill>
      <patternFill patternType="solid">
        <fgColor rgb="FFFFDDDF"/>
        <bgColor rgb="FFFFDDDF"/>
      </patternFill>
    </fill>
    <fill>
      <patternFill patternType="solid">
        <fgColor rgb="FF999999"/>
        <bgColor rgb="FF999999"/>
      </patternFill>
    </fill>
    <fill>
      <patternFill patternType="solid">
        <fgColor rgb="FFEBF7EC"/>
        <bgColor rgb="FFEBF7EC"/>
      </patternFill>
    </fill>
    <fill>
      <patternFill patternType="solid">
        <fgColor rgb="FF0000FF"/>
        <bgColor rgb="FF0000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0B5394"/>
        <bgColor rgb="FF0B5394"/>
      </patternFill>
    </fill>
    <fill>
      <patternFill patternType="solid">
        <fgColor rgb="FF274E13"/>
        <bgColor rgb="FF274E13"/>
      </patternFill>
    </fill>
    <fill>
      <patternFill patternType="solid">
        <fgColor rgb="FF351C75"/>
        <bgColor rgb="FF351C75"/>
      </patternFill>
    </fill>
    <fill>
      <patternFill patternType="solid">
        <fgColor rgb="FF38761D"/>
        <bgColor rgb="FF38761D"/>
      </patternFill>
    </fill>
    <fill>
      <patternFill patternType="solid">
        <fgColor rgb="FF073763"/>
        <bgColor rgb="FF073763"/>
      </patternFill>
    </fill>
    <fill>
      <patternFill patternType="solid">
        <fgColor rgb="FFFFFCF1"/>
        <bgColor rgb="FFFFFCF1"/>
      </patternFill>
    </fill>
  </fills>
  <borders count="7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85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  <xf numFmtId="165" fontId="4" fillId="3" borderId="2" xfId="0" applyNumberFormat="1" applyFont="1" applyFill="1" applyBorder="1" applyAlignment="1">
      <alignment horizontal="center" vertical="center" wrapText="1"/>
    </xf>
    <xf numFmtId="4" fontId="5" fillId="3" borderId="3" xfId="0" applyNumberFormat="1" applyFont="1" applyFill="1" applyBorder="1" applyAlignment="1">
      <alignment horizontal="center" wrapText="1"/>
    </xf>
    <xf numFmtId="166" fontId="0" fillId="0" borderId="0" xfId="0" applyNumberFormat="1" applyAlignment="1">
      <alignment horizontal="center" wrapText="1"/>
    </xf>
    <xf numFmtId="10" fontId="5" fillId="3" borderId="3" xfId="0" applyNumberFormat="1" applyFont="1" applyFill="1" applyBorder="1" applyAlignment="1">
      <alignment horizontal="center" wrapText="1"/>
    </xf>
    <xf numFmtId="3" fontId="0" fillId="5" borderId="0" xfId="0" applyNumberFormat="1" applyFill="1" applyAlignment="1">
      <alignment wrapText="1"/>
    </xf>
    <xf numFmtId="4" fontId="5" fillId="3" borderId="4" xfId="0" applyNumberFormat="1" applyFont="1" applyFill="1" applyBorder="1" applyAlignment="1">
      <alignment horizontal="center" wrapText="1"/>
    </xf>
    <xf numFmtId="4" fontId="0" fillId="5" borderId="0" xfId="0" applyNumberFormat="1" applyFill="1" applyAlignment="1">
      <alignment wrapText="1"/>
    </xf>
    <xf numFmtId="165" fontId="2" fillId="3" borderId="5" xfId="0" applyNumberFormat="1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center" wrapText="1"/>
    </xf>
    <xf numFmtId="2" fontId="6" fillId="3" borderId="4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67" fontId="7" fillId="6" borderId="0" xfId="0" applyNumberFormat="1" applyFont="1" applyFill="1" applyAlignment="1">
      <alignment wrapText="1"/>
    </xf>
    <xf numFmtId="4" fontId="6" fillId="3" borderId="6" xfId="0" applyNumberFormat="1" applyFont="1" applyFill="1" applyBorder="1" applyAlignment="1">
      <alignment horizontal="center" wrapText="1"/>
    </xf>
    <xf numFmtId="4" fontId="8" fillId="7" borderId="0" xfId="0" applyNumberFormat="1" applyFont="1" applyFill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4" fontId="9" fillId="0" borderId="0" xfId="0" applyNumberFormat="1" applyFont="1" applyAlignment="1">
      <alignment wrapText="1"/>
    </xf>
    <xf numFmtId="4" fontId="6" fillId="3" borderId="1" xfId="0" applyNumberFormat="1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4" fontId="11" fillId="7" borderId="0" xfId="0" applyNumberFormat="1" applyFont="1" applyFill="1" applyAlignment="1">
      <alignment wrapText="1"/>
    </xf>
    <xf numFmtId="10" fontId="12" fillId="7" borderId="0" xfId="0" applyNumberFormat="1" applyFont="1" applyFill="1" applyAlignment="1">
      <alignment horizontal="center" vertical="center" wrapText="1"/>
    </xf>
    <xf numFmtId="4" fontId="13" fillId="7" borderId="0" xfId="0" applyNumberFormat="1" applyFont="1" applyFill="1" applyAlignment="1">
      <alignment wrapText="1"/>
    </xf>
    <xf numFmtId="2" fontId="14" fillId="9" borderId="0" xfId="0" applyNumberFormat="1" applyFont="1" applyFill="1" applyAlignment="1">
      <alignment horizontal="center" vertical="center" wrapText="1"/>
    </xf>
    <xf numFmtId="0" fontId="0" fillId="10" borderId="0" xfId="0" applyFill="1" applyAlignment="1">
      <alignment horizontal="center" wrapText="1"/>
    </xf>
    <xf numFmtId="10" fontId="14" fillId="7" borderId="0" xfId="0" applyNumberFormat="1" applyFont="1" applyFill="1" applyAlignment="1">
      <alignment vertical="center" wrapText="1"/>
    </xf>
    <xf numFmtId="4" fontId="15" fillId="11" borderId="0" xfId="0" applyNumberFormat="1" applyFont="1" applyFill="1" applyAlignment="1">
      <alignment horizontal="center" wrapText="1"/>
    </xf>
    <xf numFmtId="4" fontId="16" fillId="8" borderId="0" xfId="0" applyNumberFormat="1" applyFont="1" applyFill="1" applyAlignment="1">
      <alignment vertical="center" wrapText="1"/>
    </xf>
    <xf numFmtId="4" fontId="15" fillId="11" borderId="0" xfId="0" applyNumberFormat="1" applyFont="1" applyFill="1" applyAlignment="1">
      <alignment wrapText="1"/>
    </xf>
    <xf numFmtId="3" fontId="6" fillId="12" borderId="0" xfId="0" applyNumberFormat="1" applyFont="1" applyFill="1" applyAlignment="1">
      <alignment horizontal="center" vertical="center" wrapText="1"/>
    </xf>
    <xf numFmtId="4" fontId="17" fillId="9" borderId="0" xfId="0" applyNumberFormat="1" applyFont="1" applyFill="1" applyAlignment="1">
      <alignment horizontal="center" vertical="center" wrapText="1"/>
    </xf>
    <xf numFmtId="2" fontId="18" fillId="7" borderId="0" xfId="0" applyNumberFormat="1" applyFont="1" applyFill="1" applyAlignment="1">
      <alignment horizontal="center" vertical="center" wrapText="1"/>
    </xf>
    <xf numFmtId="4" fontId="19" fillId="7" borderId="0" xfId="0" applyNumberFormat="1" applyFont="1" applyFill="1" applyAlignment="1">
      <alignment vertical="center" wrapText="1"/>
    </xf>
    <xf numFmtId="0" fontId="15" fillId="13" borderId="0" xfId="0" applyFont="1" applyFill="1" applyAlignment="1">
      <alignment wrapText="1"/>
    </xf>
    <xf numFmtId="4" fontId="2" fillId="12" borderId="0" xfId="0" applyNumberFormat="1" applyFont="1" applyFill="1" applyAlignment="1">
      <alignment horizontal="right" vertical="center" wrapText="1"/>
    </xf>
    <xf numFmtId="4" fontId="15" fillId="2" borderId="0" xfId="0" applyNumberFormat="1" applyFont="1" applyFill="1" applyAlignment="1">
      <alignment wrapText="1"/>
    </xf>
    <xf numFmtId="4" fontId="15" fillId="0" borderId="0" xfId="0" applyNumberFormat="1" applyFont="1" applyAlignment="1">
      <alignment wrapText="1"/>
    </xf>
    <xf numFmtId="4" fontId="15" fillId="13" borderId="0" xfId="0" applyNumberFormat="1" applyFont="1" applyFill="1" applyAlignment="1">
      <alignment wrapText="1"/>
    </xf>
    <xf numFmtId="4" fontId="20" fillId="2" borderId="0" xfId="0" applyNumberFormat="1" applyFont="1" applyFill="1" applyAlignment="1">
      <alignment horizontal="center" vertical="center" wrapText="1"/>
    </xf>
    <xf numFmtId="0" fontId="21" fillId="13" borderId="0" xfId="0" applyFont="1" applyFill="1" applyAlignment="1">
      <alignment wrapText="1"/>
    </xf>
    <xf numFmtId="0" fontId="22" fillId="14" borderId="0" xfId="0" applyFont="1" applyFill="1" applyAlignment="1">
      <alignment horizontal="center" vertical="center" wrapText="1"/>
    </xf>
    <xf numFmtId="4" fontId="21" fillId="13" borderId="0" xfId="0" applyNumberFormat="1" applyFont="1" applyFill="1" applyAlignment="1">
      <alignment wrapText="1"/>
    </xf>
    <xf numFmtId="164" fontId="1" fillId="15" borderId="0" xfId="0" applyNumberFormat="1" applyFont="1" applyFill="1" applyAlignment="1">
      <alignment horizontal="center" wrapText="1"/>
    </xf>
    <xf numFmtId="3" fontId="1" fillId="15" borderId="0" xfId="0" applyNumberFormat="1" applyFont="1" applyFill="1" applyAlignment="1">
      <alignment wrapText="1"/>
    </xf>
    <xf numFmtId="4" fontId="1" fillId="15" borderId="0" xfId="0" applyNumberFormat="1" applyFont="1" applyFill="1" applyAlignment="1">
      <alignment wrapText="1"/>
    </xf>
    <xf numFmtId="165" fontId="1" fillId="15" borderId="0" xfId="0" applyNumberFormat="1" applyFont="1" applyFill="1" applyAlignment="1">
      <alignment horizontal="center" wrapText="1"/>
    </xf>
    <xf numFmtId="2" fontId="21" fillId="13" borderId="0" xfId="0" applyNumberFormat="1" applyFont="1" applyFill="1" applyAlignment="1">
      <alignment wrapText="1"/>
    </xf>
    <xf numFmtId="10" fontId="10" fillId="15" borderId="0" xfId="0" applyNumberFormat="1" applyFont="1" applyFill="1" applyAlignment="1">
      <alignment wrapText="1"/>
    </xf>
    <xf numFmtId="4" fontId="10" fillId="15" borderId="0" xfId="0" applyNumberFormat="1" applyFont="1" applyFill="1" applyAlignment="1">
      <alignment wrapText="1"/>
    </xf>
    <xf numFmtId="0" fontId="15" fillId="11" borderId="0" xfId="0" applyFont="1" applyFill="1" applyAlignment="1">
      <alignment horizontal="center" wrapText="1"/>
    </xf>
    <xf numFmtId="4" fontId="23" fillId="15" borderId="0" xfId="0" applyNumberFormat="1" applyFont="1" applyFill="1" applyAlignment="1">
      <alignment wrapText="1"/>
    </xf>
    <xf numFmtId="0" fontId="15" fillId="0" borderId="0" xfId="0" applyFont="1" applyAlignment="1">
      <alignment wrapText="1"/>
    </xf>
    <xf numFmtId="10" fontId="1" fillId="15" borderId="0" xfId="0" applyNumberFormat="1" applyFont="1" applyFill="1" applyAlignment="1">
      <alignment wrapText="1"/>
    </xf>
    <xf numFmtId="4" fontId="24" fillId="7" borderId="0" xfId="0" applyNumberFormat="1" applyFont="1" applyFill="1" applyAlignment="1">
      <alignment wrapText="1"/>
    </xf>
    <xf numFmtId="4" fontId="1" fillId="15" borderId="0" xfId="0" applyNumberFormat="1" applyFont="1" applyFill="1" applyAlignment="1">
      <alignment horizontal="center" wrapText="1"/>
    </xf>
    <xf numFmtId="0" fontId="10" fillId="8" borderId="0" xfId="0" applyFont="1" applyFill="1" applyAlignment="1">
      <alignment horizontal="center" wrapText="1"/>
    </xf>
    <xf numFmtId="0" fontId="25" fillId="7" borderId="0" xfId="0" applyFont="1" applyFill="1" applyAlignment="1">
      <alignment wrapText="1"/>
    </xf>
    <xf numFmtId="3" fontId="13" fillId="0" borderId="0" xfId="0" applyNumberFormat="1" applyFont="1" applyAlignment="1">
      <alignment wrapText="1"/>
    </xf>
    <xf numFmtId="4" fontId="25" fillId="7" borderId="0" xfId="0" applyNumberFormat="1" applyFont="1" applyFill="1" applyAlignment="1">
      <alignment wrapText="1"/>
    </xf>
    <xf numFmtId="4" fontId="10" fillId="0" borderId="0" xfId="0" applyNumberFormat="1" applyFont="1" applyAlignment="1">
      <alignment wrapText="1"/>
    </xf>
    <xf numFmtId="4" fontId="26" fillId="0" borderId="0" xfId="0" applyNumberFormat="1" applyFont="1" applyAlignment="1">
      <alignment horizontal="right" wrapText="1"/>
    </xf>
    <xf numFmtId="10" fontId="10" fillId="0" borderId="0" xfId="0" applyNumberFormat="1" applyFont="1" applyAlignment="1">
      <alignment horizontal="right" wrapText="1"/>
    </xf>
    <xf numFmtId="4" fontId="10" fillId="0" borderId="0" xfId="0" applyNumberFormat="1" applyFont="1" applyAlignment="1">
      <alignment horizontal="right" wrapText="1"/>
    </xf>
    <xf numFmtId="4" fontId="13" fillId="0" borderId="0" xfId="0" applyNumberFormat="1" applyFont="1" applyAlignment="1">
      <alignment wrapText="1"/>
    </xf>
    <xf numFmtId="2" fontId="15" fillId="11" borderId="0" xfId="0" applyNumberFormat="1" applyFont="1" applyFill="1" applyAlignment="1">
      <alignment wrapText="1"/>
    </xf>
    <xf numFmtId="10" fontId="10" fillId="0" borderId="0" xfId="0" applyNumberFormat="1" applyFont="1" applyAlignment="1">
      <alignment wrapText="1"/>
    </xf>
    <xf numFmtId="4" fontId="27" fillId="7" borderId="0" xfId="0" applyNumberFormat="1" applyFont="1" applyFill="1" applyAlignment="1">
      <alignment wrapText="1"/>
    </xf>
    <xf numFmtId="0" fontId="28" fillId="3" borderId="0" xfId="0" applyFont="1" applyFill="1" applyAlignment="1">
      <alignment horizontal="center" wrapText="1"/>
    </xf>
    <xf numFmtId="10" fontId="13" fillId="0" borderId="0" xfId="0" applyNumberFormat="1" applyFont="1" applyAlignment="1">
      <alignment wrapText="1"/>
    </xf>
    <xf numFmtId="4" fontId="2" fillId="3" borderId="0" xfId="0" applyNumberFormat="1" applyFont="1" applyFill="1" applyAlignment="1">
      <alignment horizontal="right" vertical="center" wrapText="1"/>
    </xf>
    <xf numFmtId="10" fontId="29" fillId="7" borderId="0" xfId="0" applyNumberFormat="1" applyFont="1" applyFill="1" applyAlignment="1">
      <alignment wrapText="1"/>
    </xf>
    <xf numFmtId="4" fontId="2" fillId="3" borderId="0" xfId="0" applyNumberFormat="1" applyFont="1" applyFill="1" applyAlignment="1">
      <alignment vertical="center" wrapText="1"/>
    </xf>
    <xf numFmtId="4" fontId="30" fillId="3" borderId="0" xfId="0" applyNumberFormat="1" applyFont="1" applyFill="1" applyAlignment="1">
      <alignment wrapText="1"/>
    </xf>
    <xf numFmtId="0" fontId="31" fillId="3" borderId="0" xfId="0" applyFont="1" applyFill="1" applyAlignment="1">
      <alignment horizontal="center" vertical="center" wrapText="1"/>
    </xf>
    <xf numFmtId="10" fontId="32" fillId="3" borderId="0" xfId="0" applyNumberFormat="1" applyFont="1" applyFill="1" applyAlignment="1">
      <alignment vertical="center" wrapText="1"/>
    </xf>
    <xf numFmtId="10" fontId="2" fillId="3" borderId="0" xfId="0" applyNumberFormat="1" applyFont="1" applyFill="1" applyAlignment="1">
      <alignment vertical="center" wrapText="1"/>
    </xf>
    <xf numFmtId="1" fontId="0" fillId="13" borderId="0" xfId="0" applyNumberFormat="1" applyFill="1" applyAlignment="1">
      <alignment wrapText="1"/>
    </xf>
    <xf numFmtId="4" fontId="33" fillId="7" borderId="0" xfId="0" applyNumberFormat="1" applyFont="1" applyFill="1" applyAlignment="1">
      <alignment wrapText="1"/>
    </xf>
    <xf numFmtId="4" fontId="0" fillId="13" borderId="0" xfId="0" applyNumberFormat="1" applyFill="1" applyAlignment="1">
      <alignment wrapText="1"/>
    </xf>
    <xf numFmtId="10" fontId="34" fillId="3" borderId="0" xfId="0" applyNumberFormat="1" applyFont="1" applyFill="1" applyAlignment="1">
      <alignment vertical="center" wrapText="1"/>
    </xf>
    <xf numFmtId="1" fontId="35" fillId="7" borderId="0" xfId="0" applyNumberFormat="1" applyFont="1" applyFill="1" applyAlignment="1">
      <alignment wrapText="1"/>
    </xf>
    <xf numFmtId="4" fontId="35" fillId="7" borderId="0" xfId="0" applyNumberFormat="1" applyFont="1" applyFill="1" applyAlignment="1">
      <alignment wrapText="1"/>
    </xf>
    <xf numFmtId="4" fontId="36" fillId="7" borderId="0" xfId="0" applyNumberFormat="1" applyFont="1" applyFill="1" applyAlignment="1">
      <alignment wrapText="1"/>
    </xf>
    <xf numFmtId="1" fontId="15" fillId="11" borderId="0" xfId="0" applyNumberFormat="1" applyFont="1" applyFill="1" applyAlignment="1">
      <alignment wrapText="1"/>
    </xf>
    <xf numFmtId="0" fontId="15" fillId="2" borderId="0" xfId="0" applyFont="1" applyFill="1" applyAlignment="1">
      <alignment wrapText="1"/>
    </xf>
    <xf numFmtId="4" fontId="15" fillId="0" borderId="0" xfId="0" applyNumberFormat="1" applyFont="1" applyAlignment="1">
      <alignment horizontal="right" wrapText="1"/>
    </xf>
    <xf numFmtId="3" fontId="0" fillId="13" borderId="0" xfId="0" applyNumberFormat="1" applyFill="1" applyAlignment="1">
      <alignment horizontal="center" wrapText="1"/>
    </xf>
    <xf numFmtId="4" fontId="37" fillId="7" borderId="0" xfId="0" applyNumberFormat="1" applyFont="1" applyFill="1" applyAlignment="1">
      <alignment wrapText="1"/>
    </xf>
    <xf numFmtId="4" fontId="38" fillId="7" borderId="0" xfId="0" applyNumberFormat="1" applyFont="1" applyFill="1" applyAlignment="1">
      <alignment wrapText="1"/>
    </xf>
    <xf numFmtId="4" fontId="0" fillId="0" borderId="0" xfId="0" applyNumberFormat="1" applyAlignment="1">
      <alignment wrapText="1"/>
    </xf>
    <xf numFmtId="4" fontId="39" fillId="7" borderId="0" xfId="0" applyNumberFormat="1" applyFont="1" applyFill="1" applyAlignment="1">
      <alignment wrapText="1"/>
    </xf>
    <xf numFmtId="4" fontId="0" fillId="11" borderId="0" xfId="0" applyNumberFormat="1" applyFill="1" applyAlignment="1">
      <alignment wrapText="1"/>
    </xf>
    <xf numFmtId="0" fontId="22" fillId="15" borderId="0" xfId="0" applyFont="1" applyFill="1" applyAlignment="1">
      <alignment horizontal="center" vertical="center" wrapText="1"/>
    </xf>
    <xf numFmtId="1" fontId="0" fillId="11" borderId="0" xfId="0" applyNumberFormat="1" applyFill="1" applyAlignment="1">
      <alignment horizontal="center" wrapText="1"/>
    </xf>
    <xf numFmtId="4" fontId="22" fillId="15" borderId="0" xfId="0" applyNumberFormat="1" applyFont="1" applyFill="1" applyAlignment="1">
      <alignment horizontal="right" vertical="center" wrapText="1"/>
    </xf>
    <xf numFmtId="0" fontId="3" fillId="10" borderId="0" xfId="0" applyFont="1" applyFill="1" applyAlignment="1">
      <alignment horizontal="center" wrapText="1"/>
    </xf>
    <xf numFmtId="4" fontId="40" fillId="7" borderId="0" xfId="0" applyNumberFormat="1" applyFont="1" applyFill="1"/>
    <xf numFmtId="0" fontId="31" fillId="7" borderId="0" xfId="0" applyFont="1" applyFill="1" applyAlignment="1">
      <alignment wrapText="1"/>
    </xf>
    <xf numFmtId="0" fontId="31" fillId="16" borderId="0" xfId="0" applyFont="1" applyFill="1" applyAlignment="1">
      <alignment wrapText="1"/>
    </xf>
    <xf numFmtId="0" fontId="31" fillId="17" borderId="0" xfId="0" applyFont="1" applyFill="1" applyAlignment="1">
      <alignment horizontal="center" vertical="center" wrapText="1"/>
    </xf>
    <xf numFmtId="4" fontId="41" fillId="7" borderId="0" xfId="0" applyNumberFormat="1" applyFont="1" applyFill="1" applyAlignment="1">
      <alignment wrapText="1"/>
    </xf>
    <xf numFmtId="2" fontId="0" fillId="11" borderId="0" xfId="0" applyNumberFormat="1" applyFill="1" applyAlignment="1">
      <alignment wrapText="1"/>
    </xf>
    <xf numFmtId="0" fontId="31" fillId="18" borderId="0" xfId="0" applyFont="1" applyFill="1" applyAlignment="1">
      <alignment horizontal="center" wrapText="1"/>
    </xf>
    <xf numFmtId="168" fontId="13" fillId="7" borderId="0" xfId="0" applyNumberFormat="1" applyFont="1" applyFill="1" applyAlignment="1">
      <alignment horizontal="center" wrapText="1"/>
    </xf>
    <xf numFmtId="0" fontId="31" fillId="3" borderId="0" xfId="0" applyFont="1" applyFill="1" applyAlignment="1">
      <alignment horizontal="center" wrapText="1"/>
    </xf>
    <xf numFmtId="10" fontId="10" fillId="0" borderId="0" xfId="0" applyNumberFormat="1" applyFont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10" fontId="13" fillId="7" borderId="0" xfId="0" applyNumberFormat="1" applyFont="1" applyFill="1" applyAlignment="1">
      <alignment horizontal="center" wrapText="1"/>
    </xf>
    <xf numFmtId="4" fontId="13" fillId="0" borderId="0" xfId="0" applyNumberFormat="1" applyFont="1" applyAlignment="1">
      <alignment horizontal="right" wrapText="1"/>
    </xf>
    <xf numFmtId="0" fontId="13" fillId="7" borderId="0" xfId="0" applyFont="1" applyFill="1" applyAlignment="1">
      <alignment horizontal="center" wrapText="1"/>
    </xf>
    <xf numFmtId="2" fontId="13" fillId="7" borderId="0" xfId="0" applyNumberFormat="1" applyFont="1" applyFill="1" applyAlignment="1">
      <alignment horizontal="center" wrapText="1"/>
    </xf>
    <xf numFmtId="2" fontId="13" fillId="0" borderId="0" xfId="0" applyNumberFormat="1" applyFont="1" applyAlignment="1">
      <alignment horizontal="center" wrapText="1"/>
    </xf>
    <xf numFmtId="10" fontId="13" fillId="0" borderId="0" xfId="0" applyNumberFormat="1" applyFont="1" applyAlignment="1">
      <alignment horizontal="center" wrapText="1"/>
    </xf>
    <xf numFmtId="2" fontId="13" fillId="7" borderId="0" xfId="0" applyNumberFormat="1" applyFont="1" applyFill="1" applyAlignment="1">
      <alignment horizontal="right" wrapText="1"/>
    </xf>
    <xf numFmtId="2" fontId="13" fillId="7" borderId="0" xfId="0" applyNumberFormat="1" applyFont="1" applyFill="1" applyAlignment="1">
      <alignment wrapText="1"/>
    </xf>
    <xf numFmtId="0" fontId="13" fillId="7" borderId="0" xfId="0" applyFont="1" applyFill="1" applyAlignment="1">
      <alignment wrapText="1"/>
    </xf>
    <xf numFmtId="0" fontId="13" fillId="0" borderId="0" xfId="0" applyFont="1" applyAlignment="1">
      <alignment horizontal="right" wrapText="1"/>
    </xf>
    <xf numFmtId="4" fontId="15" fillId="0" borderId="0" xfId="0" applyNumberFormat="1" applyFont="1" applyAlignment="1">
      <alignment horizontal="left" wrapText="1"/>
    </xf>
    <xf numFmtId="0" fontId="21" fillId="0" borderId="0" xfId="0" applyFont="1" applyAlignment="1">
      <alignment wrapText="1"/>
    </xf>
    <xf numFmtId="4" fontId="15" fillId="0" borderId="0" xfId="0" applyNumberFormat="1" applyFont="1" applyAlignment="1">
      <alignment horizontal="right"/>
    </xf>
    <xf numFmtId="3" fontId="13" fillId="13" borderId="0" xfId="0" applyNumberFormat="1" applyFont="1" applyFill="1" applyAlignment="1">
      <alignment horizontal="center" wrapText="1"/>
    </xf>
    <xf numFmtId="4" fontId="13" fillId="13" borderId="0" xfId="0" applyNumberFormat="1" applyFont="1" applyFill="1" applyAlignment="1">
      <alignment wrapText="1"/>
    </xf>
    <xf numFmtId="4" fontId="13" fillId="11" borderId="0" xfId="0" applyNumberFormat="1" applyFont="1" applyFill="1" applyAlignment="1">
      <alignment wrapText="1"/>
    </xf>
    <xf numFmtId="0" fontId="13" fillId="0" borderId="0" xfId="0" applyFont="1" applyAlignment="1">
      <alignment wrapText="1"/>
    </xf>
    <xf numFmtId="1" fontId="13" fillId="11" borderId="0" xfId="0" applyNumberFormat="1" applyFont="1" applyFill="1" applyAlignment="1">
      <alignment horizontal="center" wrapText="1"/>
    </xf>
    <xf numFmtId="2" fontId="13" fillId="11" borderId="0" xfId="0" applyNumberFormat="1" applyFont="1" applyFill="1" applyAlignment="1">
      <alignment wrapText="1"/>
    </xf>
    <xf numFmtId="4" fontId="13" fillId="11" borderId="0" xfId="0" applyNumberFormat="1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3" fontId="13" fillId="11" borderId="0" xfId="0" applyNumberFormat="1" applyFont="1" applyFill="1" applyAlignment="1">
      <alignment horizontal="center" wrapText="1"/>
    </xf>
    <xf numFmtId="2" fontId="13" fillId="11" borderId="0" xfId="0" applyNumberFormat="1" applyFont="1" applyFill="1" applyAlignment="1">
      <alignment horizontal="center" wrapText="1"/>
    </xf>
    <xf numFmtId="0" fontId="42" fillId="10" borderId="0" xfId="0" applyFont="1" applyFill="1" applyAlignment="1">
      <alignment horizontal="center" wrapText="1"/>
    </xf>
    <xf numFmtId="168" fontId="13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19" borderId="0" xfId="0" applyFill="1" applyAlignment="1">
      <alignment horizontal="right" wrapText="1"/>
    </xf>
    <xf numFmtId="3" fontId="15" fillId="13" borderId="0" xfId="0" applyNumberFormat="1" applyFont="1" applyFill="1" applyAlignment="1">
      <alignment horizontal="center" wrapText="1"/>
    </xf>
    <xf numFmtId="4" fontId="31" fillId="19" borderId="0" xfId="0" applyNumberFormat="1" applyFont="1" applyFill="1" applyAlignment="1">
      <alignment horizontal="right" wrapText="1"/>
    </xf>
    <xf numFmtId="0" fontId="0" fillId="0" borderId="0" xfId="0" applyAlignment="1">
      <alignment horizontal="right" wrapText="1"/>
    </xf>
    <xf numFmtId="10" fontId="0" fillId="0" borderId="0" xfId="0" applyNumberFormat="1" applyAlignment="1">
      <alignment horizontal="right" wrapText="1"/>
    </xf>
    <xf numFmtId="0" fontId="43" fillId="20" borderId="0" xfId="0" applyFont="1" applyFill="1" applyAlignment="1">
      <alignment horizontal="center" vertical="center" wrapText="1"/>
    </xf>
    <xf numFmtId="3" fontId="15" fillId="11" borderId="0" xfId="0" applyNumberFormat="1" applyFont="1" applyFill="1" applyAlignment="1">
      <alignment horizontal="center" wrapText="1"/>
    </xf>
    <xf numFmtId="4" fontId="6" fillId="21" borderId="0" xfId="0" applyNumberFormat="1" applyFont="1" applyFill="1" applyAlignment="1">
      <alignment horizontal="right" wrapText="1"/>
    </xf>
    <xf numFmtId="169" fontId="6" fillId="21" borderId="0" xfId="0" applyNumberFormat="1" applyFont="1" applyFill="1" applyAlignment="1">
      <alignment horizontal="right" wrapText="1"/>
    </xf>
    <xf numFmtId="1" fontId="15" fillId="11" borderId="0" xfId="0" applyNumberFormat="1" applyFont="1" applyFill="1" applyAlignment="1">
      <alignment horizontal="center" wrapText="1"/>
    </xf>
    <xf numFmtId="170" fontId="44" fillId="21" borderId="0" xfId="0" applyNumberFormat="1" applyFont="1" applyFill="1" applyAlignment="1">
      <alignment horizontal="center" wrapText="1"/>
    </xf>
    <xf numFmtId="4" fontId="0" fillId="0" borderId="0" xfId="0" applyNumberFormat="1" applyAlignment="1">
      <alignment horizontal="right" wrapText="1"/>
    </xf>
    <xf numFmtId="169" fontId="0" fillId="0" borderId="0" xfId="0" applyNumberFormat="1" applyAlignment="1">
      <alignment horizontal="right" wrapText="1"/>
    </xf>
    <xf numFmtId="4" fontId="43" fillId="3" borderId="0" xfId="0" applyNumberFormat="1" applyFont="1" applyFill="1" applyAlignment="1">
      <alignment horizontal="center" wrapText="1"/>
    </xf>
    <xf numFmtId="3" fontId="13" fillId="13" borderId="0" xfId="0" applyNumberFormat="1" applyFont="1" applyFill="1" applyAlignment="1">
      <alignment wrapText="1"/>
    </xf>
    <xf numFmtId="4" fontId="45" fillId="3" borderId="0" xfId="0" applyNumberFormat="1" applyFont="1" applyFill="1" applyAlignment="1">
      <alignment horizontal="right" wrapText="1"/>
    </xf>
    <xf numFmtId="4" fontId="31" fillId="21" borderId="0" xfId="0" applyNumberFormat="1" applyFont="1" applyFill="1" applyAlignment="1">
      <alignment horizontal="right" wrapText="1"/>
    </xf>
    <xf numFmtId="0" fontId="45" fillId="21" borderId="0" xfId="0" applyFont="1" applyFill="1" applyAlignment="1">
      <alignment horizontal="center" vertical="center" wrapText="1"/>
    </xf>
    <xf numFmtId="169" fontId="13" fillId="0" borderId="0" xfId="0" applyNumberFormat="1" applyFont="1" applyAlignment="1">
      <alignment horizontal="right" wrapText="1"/>
    </xf>
    <xf numFmtId="0" fontId="46" fillId="3" borderId="0" xfId="0" applyFont="1" applyFill="1" applyAlignment="1">
      <alignment horizontal="center" vertical="center" wrapText="1"/>
    </xf>
    <xf numFmtId="10" fontId="13" fillId="7" borderId="0" xfId="0" applyNumberFormat="1" applyFont="1" applyFill="1" applyAlignment="1">
      <alignment wrapText="1"/>
    </xf>
    <xf numFmtId="10" fontId="13" fillId="0" borderId="0" xfId="0" applyNumberFormat="1" applyFont="1" applyAlignment="1">
      <alignment horizontal="right" wrapText="1"/>
    </xf>
    <xf numFmtId="0" fontId="47" fillId="0" borderId="0" xfId="0" applyFont="1" applyAlignment="1">
      <alignment vertical="center" wrapText="1"/>
    </xf>
    <xf numFmtId="0" fontId="29" fillId="0" borderId="0" xfId="0" applyFont="1" applyAlignment="1">
      <alignment wrapText="1"/>
    </xf>
    <xf numFmtId="0" fontId="48" fillId="7" borderId="0" xfId="0" applyFont="1" applyFill="1" applyAlignment="1">
      <alignment horizontal="center" wrapText="1"/>
    </xf>
    <xf numFmtId="3" fontId="48" fillId="7" borderId="0" xfId="0" applyNumberFormat="1" applyFont="1" applyFill="1" applyAlignment="1">
      <alignment horizontal="right" wrapText="1"/>
    </xf>
    <xf numFmtId="164" fontId="48" fillId="7" borderId="0" xfId="0" applyNumberFormat="1" applyFont="1" applyFill="1" applyAlignment="1">
      <alignment wrapText="1"/>
    </xf>
    <xf numFmtId="4" fontId="48" fillId="7" borderId="0" xfId="0" applyNumberFormat="1" applyFont="1" applyFill="1" applyAlignment="1">
      <alignment wrapText="1"/>
    </xf>
    <xf numFmtId="10" fontId="10" fillId="7" borderId="0" xfId="0" applyNumberFormat="1" applyFont="1" applyFill="1" applyAlignment="1">
      <alignment wrapText="1"/>
    </xf>
    <xf numFmtId="4" fontId="49" fillId="2" borderId="0" xfId="0" applyNumberFormat="1" applyFont="1" applyFill="1" applyAlignment="1">
      <alignment horizontal="right" wrapText="1"/>
    </xf>
    <xf numFmtId="10" fontId="29" fillId="0" borderId="0" xfId="0" applyNumberFormat="1" applyFont="1" applyAlignment="1">
      <alignment wrapText="1"/>
    </xf>
    <xf numFmtId="0" fontId="48" fillId="7" borderId="0" xfId="0" applyFont="1" applyFill="1" applyAlignment="1">
      <alignment horizontal="right" wrapText="1"/>
    </xf>
    <xf numFmtId="4" fontId="0" fillId="22" borderId="0" xfId="0" applyNumberFormat="1" applyFill="1" applyAlignment="1">
      <alignment horizontal="right" wrapText="1"/>
    </xf>
    <xf numFmtId="4" fontId="13" fillId="22" borderId="0" xfId="0" applyNumberFormat="1" applyFont="1" applyFill="1" applyAlignment="1">
      <alignment horizontal="right" wrapText="1"/>
    </xf>
    <xf numFmtId="169" fontId="13" fillId="22" borderId="0" xfId="0" applyNumberFormat="1" applyFont="1" applyFill="1" applyAlignment="1">
      <alignment horizontal="right" wrapText="1"/>
    </xf>
    <xf numFmtId="0" fontId="50" fillId="3" borderId="0" xfId="0" applyFont="1" applyFill="1" applyAlignment="1">
      <alignment horizontal="center" wrapText="1"/>
    </xf>
    <xf numFmtId="10" fontId="13" fillId="22" borderId="0" xfId="0" applyNumberFormat="1" applyFont="1" applyFill="1" applyAlignment="1">
      <alignment wrapText="1"/>
    </xf>
    <xf numFmtId="10" fontId="10" fillId="22" borderId="0" xfId="0" applyNumberFormat="1" applyFont="1" applyFill="1" applyAlignment="1">
      <alignment wrapText="1"/>
    </xf>
    <xf numFmtId="4" fontId="50" fillId="3" borderId="0" xfId="0" applyNumberFormat="1" applyFont="1" applyFill="1" applyAlignment="1">
      <alignment horizontal="right" wrapText="1"/>
    </xf>
    <xf numFmtId="164" fontId="48" fillId="2" borderId="0" xfId="0" applyNumberFormat="1" applyFont="1" applyFill="1" applyAlignment="1">
      <alignment horizontal="center" wrapText="1"/>
    </xf>
    <xf numFmtId="10" fontId="13" fillId="22" borderId="0" xfId="0" applyNumberFormat="1" applyFont="1" applyFill="1" applyAlignment="1">
      <alignment horizontal="right" wrapText="1"/>
    </xf>
    <xf numFmtId="10" fontId="0" fillId="22" borderId="0" xfId="0" applyNumberFormat="1" applyFill="1" applyAlignment="1">
      <alignment horizontal="right" wrapText="1"/>
    </xf>
    <xf numFmtId="0" fontId="0" fillId="22" borderId="0" xfId="0" applyFill="1" applyAlignment="1">
      <alignment horizontal="right" wrapText="1"/>
    </xf>
    <xf numFmtId="4" fontId="51" fillId="0" borderId="0" xfId="0" applyNumberFormat="1" applyFont="1" applyAlignment="1">
      <alignment horizontal="right" wrapText="1"/>
    </xf>
    <xf numFmtId="4" fontId="52" fillId="0" borderId="0" xfId="0" applyNumberFormat="1" applyFont="1" applyAlignment="1">
      <alignment wrapText="1"/>
    </xf>
    <xf numFmtId="0" fontId="51" fillId="0" borderId="0" xfId="0" applyFont="1" applyAlignment="1">
      <alignment wrapText="1"/>
    </xf>
    <xf numFmtId="4" fontId="53" fillId="0" borderId="0" xfId="0" applyNumberFormat="1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31" fillId="7" borderId="0" xfId="0" applyFont="1" applyFill="1" applyAlignment="1">
      <alignment horizontal="center" wrapText="1"/>
    </xf>
  </cellXfs>
  <cellStyles count="1">
    <cellStyle name="Normal" xfId="0" builtinId="0"/>
  </cellStyles>
  <dxfs count="57">
    <dxf>
      <font>
        <color rgb="FFD9D9D9"/>
      </font>
      <fill>
        <patternFill patternType="none"/>
      </fill>
      <alignment wrapText="1"/>
      <border>
        <left/>
        <right/>
        <top/>
        <bottom/>
      </border>
    </dxf>
    <dxf>
      <font>
        <color rgb="FFCCCCCC"/>
      </font>
      <fill>
        <patternFill patternType="none"/>
      </fill>
      <border>
        <left/>
        <right/>
        <top/>
        <bottom/>
      </border>
    </dxf>
    <dxf>
      <font>
        <color rgb="FFCCCCCC"/>
      </font>
      <fill>
        <patternFill patternType="none"/>
      </fill>
      <border>
        <left/>
        <right/>
        <top/>
        <bottom/>
      </border>
    </dxf>
    <dxf>
      <font>
        <color rgb="FFCCCCCC"/>
      </font>
      <fill>
        <patternFill patternType="none"/>
      </fill>
      <border>
        <left/>
        <right/>
        <top/>
        <bottom/>
      </border>
    </dxf>
    <dxf>
      <font>
        <color rgb="FFCCCCCC"/>
      </font>
      <fill>
        <patternFill patternType="none"/>
      </fill>
      <border>
        <left/>
        <right/>
        <top/>
        <bottom/>
      </border>
    </dxf>
    <dxf>
      <font>
        <color rgb="FFCCCCCC"/>
      </font>
      <fill>
        <patternFill patternType="none"/>
      </fill>
      <border>
        <left/>
        <right/>
        <top/>
        <bottom/>
      </border>
    </dxf>
    <dxf>
      <font>
        <color rgb="FFCCCCCC"/>
      </font>
      <fill>
        <patternFill patternType="none"/>
      </fill>
      <border>
        <left/>
        <right/>
        <top/>
        <bottom/>
      </border>
    </dxf>
    <dxf>
      <font>
        <color rgb="FFCCCCCC"/>
      </font>
      <fill>
        <patternFill patternType="none"/>
      </fill>
      <border>
        <left/>
        <right/>
        <top/>
        <bottom/>
      </border>
    </dxf>
    <dxf>
      <font>
        <color rgb="FFCCCCCC"/>
      </font>
      <fill>
        <patternFill patternType="none"/>
      </fill>
      <border>
        <left/>
        <right/>
        <top/>
        <bottom/>
      </border>
    </dxf>
    <dxf>
      <font>
        <color rgb="FFCCCCCC"/>
      </font>
      <fill>
        <patternFill patternType="none"/>
      </fill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color rgb="FFCCCCCC"/>
      </font>
      <fill>
        <patternFill patternType="none"/>
      </fill>
      <border>
        <left/>
        <right/>
        <top/>
        <bottom/>
      </border>
    </dxf>
    <dxf>
      <font>
        <color rgb="FFCCCCCC"/>
      </font>
      <fill>
        <patternFill patternType="none"/>
      </fill>
      <border>
        <left/>
        <right/>
        <top/>
        <bottom/>
      </border>
    </dxf>
    <dxf>
      <font>
        <color rgb="FFCCCCCC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solid">
          <fgColor rgb="FF38761D"/>
          <bgColor rgb="FF38761D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D9D9D9"/>
      </font>
      <fill>
        <patternFill patternType="none"/>
      </fill>
      <border>
        <left/>
        <right/>
        <top/>
        <bottom/>
      </border>
    </dxf>
    <dxf>
      <font>
        <color rgb="FF31C888"/>
      </font>
      <fill>
        <patternFill patternType="none"/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b/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b/>
        <color rgb="FF31C888"/>
      </font>
      <fill>
        <patternFill patternType="none"/>
      </fill>
      <alignment wrapText="1"/>
      <border>
        <left/>
        <right/>
        <top/>
        <bottom/>
      </border>
    </dxf>
    <dxf>
      <font>
        <b/>
        <color rgb="FFFF0000"/>
      </font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ont>
        <b/>
        <color rgb="FF0000FF"/>
      </font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ont>
        <b/>
        <color rgb="FFD9D9D9"/>
      </font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ont>
        <b/>
        <color rgb="FFFFFFFF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b/>
        <color rgb="FFFFFFFF"/>
      </font>
      <fill>
        <patternFill patternType="solid">
          <fgColor rgb="FF006600"/>
          <bgColor rgb="FF006600"/>
        </patternFill>
      </fill>
      <alignment wrapText="1"/>
      <border>
        <left/>
        <right/>
        <top/>
        <bottom/>
      </border>
    </dxf>
    <dxf>
      <font>
        <color rgb="FF274E13"/>
      </font>
      <fill>
        <patternFill patternType="solid">
          <fgColor rgb="FFEBF7EC"/>
          <bgColor rgb="FFEBF7EC"/>
        </patternFill>
      </fill>
      <alignment wrapText="1"/>
      <border>
        <left/>
        <right/>
        <top/>
        <bottom/>
      </border>
    </dxf>
    <dxf>
      <font>
        <b/>
        <color rgb="FFFF0000"/>
      </font>
      <fill>
        <patternFill patternType="solid">
          <fgColor rgb="FFFFF0F9"/>
          <bgColor rgb="FFFFF0F9"/>
        </patternFill>
      </fill>
      <alignment wrapText="1"/>
      <border>
        <left/>
        <right/>
        <top/>
        <bottom/>
      </border>
    </dxf>
    <dxf>
      <font>
        <b/>
        <color rgb="FF0000FF"/>
      </font>
      <fill>
        <patternFill patternType="solid">
          <fgColor rgb="FFD9EAD3"/>
          <bgColor rgb="FFD9EAD3"/>
        </patternFill>
      </fill>
      <alignment wrapText="1"/>
      <border>
        <left/>
        <right/>
        <top/>
        <bottom/>
      </border>
    </dxf>
    <dxf>
      <font>
        <b/>
        <color rgb="FFFF0000"/>
      </font>
      <fill>
        <patternFill patternType="solid">
          <fgColor rgb="FFFFDDDF"/>
          <bgColor rgb="FFFFDDDF"/>
        </patternFill>
      </fill>
      <alignment wrapText="1"/>
      <border>
        <left/>
        <right/>
        <top/>
        <bottom/>
      </border>
    </dxf>
    <dxf>
      <font>
        <b/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b/>
        <color rgb="FF31C888"/>
      </font>
      <fill>
        <patternFill patternType="none"/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color rgb="FF31C888"/>
      </font>
      <fill>
        <patternFill patternType="none"/>
      </fill>
      <alignment wrapText="1"/>
      <border>
        <left/>
        <right/>
        <top/>
        <bottom/>
      </border>
    </dxf>
    <dxf>
      <font>
        <b/>
        <color rgb="FFFF0000"/>
      </font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ont>
        <b/>
        <color rgb="FF0000FF"/>
      </font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ont>
        <color rgb="FFD9D9D9"/>
      </font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ont>
        <b/>
        <color rgb="FFCCCCCC"/>
      </font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ont>
        <b/>
        <color rgb="FFFFFFFF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b/>
        <color rgb="FFFFFFFF"/>
      </font>
      <fill>
        <patternFill patternType="solid">
          <fgColor rgb="FF006600"/>
          <bgColor rgb="FF006600"/>
        </patternFill>
      </fill>
      <alignment wrapText="1"/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color rgb="FFCCCCCC"/>
      </font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color rgb="FF0000FF"/>
      </font>
      <fill>
        <patternFill patternType="none"/>
      </fill>
      <alignment wrapText="1"/>
      <border>
        <left/>
        <right/>
        <top/>
        <bottom/>
      </border>
    </dxf>
    <dxf>
      <font>
        <color rgb="FFCCCCCC"/>
      </font>
      <fill>
        <patternFill patternType="none"/>
      </fill>
      <alignment wrapText="1"/>
      <border>
        <left/>
        <right/>
        <top/>
        <bottom/>
      </border>
    </dxf>
    <dxf>
      <font>
        <color rgb="FF0000FF"/>
      </font>
      <fill>
        <patternFill patternType="none"/>
      </fill>
      <alignment wrapText="1"/>
      <border>
        <left/>
        <right/>
        <top/>
        <bottom/>
      </border>
    </dxf>
    <dxf>
      <font>
        <color rgb="FF0000FF"/>
      </font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ont>
        <color rgb="FFFF0000"/>
      </font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color rgb="FF000000"/>
      </font>
      <fill>
        <patternFill patternType="none"/>
      </fill>
      <alignment wrapText="1"/>
      <border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3366CC"/>
              </a:solidFill>
            </c:spPr>
            <c:extLst>
              <c:ext xmlns:c16="http://schemas.microsoft.com/office/drawing/2014/chart" uri="{C3380CC4-5D6E-409C-BE32-E72D297353CC}">
                <c16:uniqueId val="{00000000-D38B-4DE5-9366-9FC180B2AD52}"/>
              </c:ext>
            </c:extLst>
          </c:dPt>
          <c:dPt>
            <c:idx val="1"/>
            <c:bubble3D val="0"/>
            <c:spPr>
              <a:solidFill>
                <a:srgbClr val="DC3912"/>
              </a:solidFill>
            </c:spPr>
            <c:extLst>
              <c:ext xmlns:c16="http://schemas.microsoft.com/office/drawing/2014/chart" uri="{C3380CC4-5D6E-409C-BE32-E72D297353CC}">
                <c16:uniqueId val="{00000001-D38B-4DE5-9366-9FC180B2AD52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</c:spPr>
            <c:extLst>
              <c:ext xmlns:c16="http://schemas.microsoft.com/office/drawing/2014/chart" uri="{C3380CC4-5D6E-409C-BE32-E72D297353CC}">
                <c16:uniqueId val="{00000002-D38B-4DE5-9366-9FC180B2AD52}"/>
              </c:ext>
            </c:extLst>
          </c:dPt>
          <c:dPt>
            <c:idx val="3"/>
            <c:bubble3D val="0"/>
            <c:spPr>
              <a:solidFill>
                <a:srgbClr val="109618"/>
              </a:solidFill>
            </c:spPr>
            <c:extLst>
              <c:ext xmlns:c16="http://schemas.microsoft.com/office/drawing/2014/chart" uri="{C3380CC4-5D6E-409C-BE32-E72D297353CC}">
                <c16:uniqueId val="{00000003-D38B-4DE5-9366-9FC180B2AD52}"/>
              </c:ext>
            </c:extLst>
          </c:dPt>
          <c:dPt>
            <c:idx val="4"/>
            <c:bubble3D val="0"/>
            <c:spPr>
              <a:solidFill>
                <a:srgbClr val="990099"/>
              </a:solidFill>
            </c:spPr>
            <c:extLst>
              <c:ext xmlns:c16="http://schemas.microsoft.com/office/drawing/2014/chart" uri="{C3380CC4-5D6E-409C-BE32-E72D297353CC}">
                <c16:uniqueId val="{00000004-D38B-4DE5-9366-9FC180B2AD52}"/>
              </c:ext>
            </c:extLst>
          </c:dPt>
          <c:dPt>
            <c:idx val="5"/>
            <c:bubble3D val="0"/>
            <c:spPr>
              <a:solidFill>
                <a:srgbClr val="0099C6"/>
              </a:solidFill>
            </c:spPr>
            <c:extLst>
              <c:ext xmlns:c16="http://schemas.microsoft.com/office/drawing/2014/chart" uri="{C3380CC4-5D6E-409C-BE32-E72D297353CC}">
                <c16:uniqueId val="{00000005-D38B-4DE5-9366-9FC180B2AD52}"/>
              </c:ext>
            </c:extLst>
          </c:dPt>
          <c:dPt>
            <c:idx val="6"/>
            <c:bubble3D val="0"/>
            <c:spPr>
              <a:solidFill>
                <a:srgbClr val="DD4477"/>
              </a:solidFill>
            </c:spPr>
            <c:extLst>
              <c:ext xmlns:c16="http://schemas.microsoft.com/office/drawing/2014/chart" uri="{C3380CC4-5D6E-409C-BE32-E72D297353CC}">
                <c16:uniqueId val="{00000006-D38B-4DE5-9366-9FC180B2AD52}"/>
              </c:ext>
            </c:extLst>
          </c:dPt>
          <c:dPt>
            <c:idx val="7"/>
            <c:bubble3D val="0"/>
            <c:spPr>
              <a:solidFill>
                <a:srgbClr val="66AA00"/>
              </a:solidFill>
            </c:spPr>
            <c:extLst>
              <c:ext xmlns:c16="http://schemas.microsoft.com/office/drawing/2014/chart" uri="{C3380CC4-5D6E-409C-BE32-E72D297353CC}">
                <c16:uniqueId val="{00000007-D38B-4DE5-9366-9FC180B2AD52}"/>
              </c:ext>
            </c:extLst>
          </c:dPt>
          <c:dPt>
            <c:idx val="8"/>
            <c:bubble3D val="0"/>
            <c:spPr>
              <a:solidFill>
                <a:srgbClr val="B82E2E"/>
              </a:solidFill>
            </c:spPr>
            <c:extLst>
              <c:ext xmlns:c16="http://schemas.microsoft.com/office/drawing/2014/chart" uri="{C3380CC4-5D6E-409C-BE32-E72D297353CC}">
                <c16:uniqueId val="{00000008-D38B-4DE5-9366-9FC180B2AD52}"/>
              </c:ext>
            </c:extLst>
          </c:dPt>
          <c:dPt>
            <c:idx val="9"/>
            <c:bubble3D val="0"/>
            <c:spPr>
              <a:solidFill>
                <a:srgbClr val="316395"/>
              </a:solidFill>
            </c:spPr>
            <c:extLst>
              <c:ext xmlns:c16="http://schemas.microsoft.com/office/drawing/2014/chart" uri="{C3380CC4-5D6E-409C-BE32-E72D297353CC}">
                <c16:uniqueId val="{00000009-D38B-4DE5-9366-9FC180B2AD52}"/>
              </c:ext>
            </c:extLst>
          </c:dPt>
          <c:dPt>
            <c:idx val="10"/>
            <c:bubble3D val="0"/>
            <c:spPr>
              <a:solidFill>
                <a:srgbClr val="994499"/>
              </a:solidFill>
            </c:spPr>
            <c:extLst>
              <c:ext xmlns:c16="http://schemas.microsoft.com/office/drawing/2014/chart" uri="{C3380CC4-5D6E-409C-BE32-E72D297353CC}">
                <c16:uniqueId val="{0000000A-D38B-4DE5-9366-9FC180B2AD52}"/>
              </c:ext>
            </c:extLst>
          </c:dPt>
          <c:dPt>
            <c:idx val="11"/>
            <c:bubble3D val="0"/>
            <c:spPr>
              <a:solidFill>
                <a:srgbClr val="22AA99"/>
              </a:solidFill>
            </c:spPr>
            <c:extLst>
              <c:ext xmlns:c16="http://schemas.microsoft.com/office/drawing/2014/chart" uri="{C3380CC4-5D6E-409C-BE32-E72D297353CC}">
                <c16:uniqueId val="{0000000B-D38B-4DE5-9366-9FC180B2AD5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P!$A$3:$A$15</c:f>
              <c:strCache>
                <c:ptCount val="12"/>
                <c:pt idx="0">
                  <c:v>BBAS3</c:v>
                </c:pt>
                <c:pt idx="1">
                  <c:v>BBDC4</c:v>
                </c:pt>
                <c:pt idx="2">
                  <c:v>BBSE3</c:v>
                </c:pt>
                <c:pt idx="3">
                  <c:v>BVMF3</c:v>
                </c:pt>
                <c:pt idx="4">
                  <c:v>CGAS5</c:v>
                </c:pt>
                <c:pt idx="5">
                  <c:v>CIEL3</c:v>
                </c:pt>
                <c:pt idx="6">
                  <c:v>CMIG3</c:v>
                </c:pt>
                <c:pt idx="7">
                  <c:v>ELPL4</c:v>
                </c:pt>
                <c:pt idx="8">
                  <c:v>PETR4</c:v>
                </c:pt>
                <c:pt idx="9">
                  <c:v>PRML3</c:v>
                </c:pt>
                <c:pt idx="10">
                  <c:v>PSSA3</c:v>
                </c:pt>
                <c:pt idx="11">
                  <c:v>TIMP3</c:v>
                </c:pt>
              </c:strCache>
            </c:strRef>
          </c:cat>
          <c:val>
            <c:numRef>
              <c:f>P!$P$3:$P$14</c:f>
              <c:numCache>
                <c:formatCode>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38B-4DE5-9366-9FC180B2A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200">
              <a:solidFill>
                <a:srgbClr val="000000"/>
              </a:solidFill>
            </a:defRPr>
          </a:pPr>
          <a:endParaRPr lang="pt-BR"/>
        </a:p>
      </c:txPr>
    </c:legend>
    <c:plotVisOnly val="0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Lucro: Carteira x Ibovespa x IPCA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P!$H$38</c:f>
              <c:strCache>
                <c:ptCount val="1"/>
                <c:pt idx="0">
                  <c:v>Carteira</c:v>
                </c:pt>
              </c:strCache>
            </c:strRef>
          </c:tx>
          <c:spPr>
            <a:ln w="25400" cmpd="sng">
              <a:solidFill>
                <a:srgbClr val="0000FF"/>
              </a:solidFill>
            </a:ln>
          </c:spPr>
          <c:marker>
            <c:symbol val="circle"/>
            <c:size val="7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cat>
            <c:strRef>
              <c:f>P!$A$39:$A$58</c:f>
              <c:strCache>
                <c:ptCount val="20"/>
                <c:pt idx="0">
                  <c:v>Mar-2015</c:v>
                </c:pt>
                <c:pt idx="1">
                  <c:v>Abr-2015</c:v>
                </c:pt>
                <c:pt idx="2">
                  <c:v>Mai-2015</c:v>
                </c:pt>
                <c:pt idx="3">
                  <c:v>Jun-2015</c:v>
                </c:pt>
                <c:pt idx="4">
                  <c:v>Jul-2015</c:v>
                </c:pt>
                <c:pt idx="5">
                  <c:v>Ago-2015</c:v>
                </c:pt>
                <c:pt idx="6">
                  <c:v>Set-2015</c:v>
                </c:pt>
                <c:pt idx="7">
                  <c:v>Out-2015</c:v>
                </c:pt>
                <c:pt idx="8">
                  <c:v>Nov-2015</c:v>
                </c:pt>
                <c:pt idx="9">
                  <c:v>Dez-2015</c:v>
                </c:pt>
                <c:pt idx="10">
                  <c:v>Jan-2016</c:v>
                </c:pt>
                <c:pt idx="11">
                  <c:v>Fev-2016</c:v>
                </c:pt>
                <c:pt idx="12">
                  <c:v>Mar-2016</c:v>
                </c:pt>
                <c:pt idx="13">
                  <c:v>Abr-2016</c:v>
                </c:pt>
                <c:pt idx="14">
                  <c:v>Mai-2016</c:v>
                </c:pt>
                <c:pt idx="15">
                  <c:v>Jun-2016</c:v>
                </c:pt>
                <c:pt idx="16">
                  <c:v>Jul-2016</c:v>
                </c:pt>
                <c:pt idx="17">
                  <c:v>Ago-2016</c:v>
                </c:pt>
                <c:pt idx="18">
                  <c:v>Set-2016</c:v>
                </c:pt>
                <c:pt idx="19">
                  <c:v>Out-2016</c:v>
                </c:pt>
              </c:strCache>
            </c:strRef>
          </c:cat>
          <c:val>
            <c:numRef>
              <c:f>P!$H$39:$H$62</c:f>
              <c:numCache>
                <c:formatCode>0.00%</c:formatCode>
                <c:ptCount val="24"/>
                <c:pt idx="0">
                  <c:v>0</c:v>
                </c:pt>
                <c:pt idx="1">
                  <c:v>3.9768401015228383E-2</c:v>
                </c:pt>
                <c:pt idx="2">
                  <c:v>0.16678843364757068</c:v>
                </c:pt>
                <c:pt idx="3">
                  <c:v>0.22689641497461932</c:v>
                </c:pt>
                <c:pt idx="4">
                  <c:v>0.10002961082910322</c:v>
                </c:pt>
                <c:pt idx="5">
                  <c:v>-6.2989213197969462E-2</c:v>
                </c:pt>
                <c:pt idx="6">
                  <c:v>-0.14289513151822797</c:v>
                </c:pt>
                <c:pt idx="7">
                  <c:v>-9.9961928934010125E-2</c:v>
                </c:pt>
                <c:pt idx="8">
                  <c:v>-0.11539828192112456</c:v>
                </c:pt>
                <c:pt idx="9">
                  <c:v>-0.16755801305293694</c:v>
                </c:pt>
                <c:pt idx="10">
                  <c:v>-0.21750335795836129</c:v>
                </c:pt>
                <c:pt idx="11">
                  <c:v>-0.20102173233270793</c:v>
                </c:pt>
                <c:pt idx="12">
                  <c:v>3.3645040959625616E-2</c:v>
                </c:pt>
                <c:pt idx="13">
                  <c:v>0.10846275426058272</c:v>
                </c:pt>
                <c:pt idx="14">
                  <c:v>-6.7978875064801381E-3</c:v>
                </c:pt>
                <c:pt idx="15">
                  <c:v>6.2456473761647979E-2</c:v>
                </c:pt>
                <c:pt idx="16">
                  <c:v>0.27332043973941356</c:v>
                </c:pt>
                <c:pt idx="17">
                  <c:v>0.26921480743691895</c:v>
                </c:pt>
                <c:pt idx="18">
                  <c:v>0.24400406289573673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BA1-448E-A3FA-6BDA7515650B}"/>
            </c:ext>
          </c:extLst>
        </c:ser>
        <c:ser>
          <c:idx val="1"/>
          <c:order val="1"/>
          <c:tx>
            <c:strRef>
              <c:f>P!$I$38</c:f>
              <c:strCache>
                <c:ptCount val="1"/>
                <c:pt idx="0">
                  <c:v>Ibovespa</c:v>
                </c:pt>
              </c:strCache>
            </c:strRef>
          </c:tx>
          <c:spPr>
            <a:ln w="25400" cmpd="sng">
              <a:solidFill>
                <a:srgbClr val="93C47D"/>
              </a:solidFill>
            </a:ln>
          </c:spPr>
          <c:marker>
            <c:symbol val="circle"/>
            <c:size val="7"/>
            <c:spPr>
              <a:solidFill>
                <a:srgbClr val="93C47D"/>
              </a:solidFill>
              <a:ln cmpd="sng">
                <a:solidFill>
                  <a:srgbClr val="93C47D"/>
                </a:solidFill>
              </a:ln>
            </c:spPr>
          </c:marker>
          <c:cat>
            <c:strRef>
              <c:f>P!$A$39:$A$58</c:f>
              <c:strCache>
                <c:ptCount val="20"/>
                <c:pt idx="0">
                  <c:v>Mar-2015</c:v>
                </c:pt>
                <c:pt idx="1">
                  <c:v>Abr-2015</c:v>
                </c:pt>
                <c:pt idx="2">
                  <c:v>Mai-2015</c:v>
                </c:pt>
                <c:pt idx="3">
                  <c:v>Jun-2015</c:v>
                </c:pt>
                <c:pt idx="4">
                  <c:v>Jul-2015</c:v>
                </c:pt>
                <c:pt idx="5">
                  <c:v>Ago-2015</c:v>
                </c:pt>
                <c:pt idx="6">
                  <c:v>Set-2015</c:v>
                </c:pt>
                <c:pt idx="7">
                  <c:v>Out-2015</c:v>
                </c:pt>
                <c:pt idx="8">
                  <c:v>Nov-2015</c:v>
                </c:pt>
                <c:pt idx="9">
                  <c:v>Dez-2015</c:v>
                </c:pt>
                <c:pt idx="10">
                  <c:v>Jan-2016</c:v>
                </c:pt>
                <c:pt idx="11">
                  <c:v>Fev-2016</c:v>
                </c:pt>
                <c:pt idx="12">
                  <c:v>Mar-2016</c:v>
                </c:pt>
                <c:pt idx="13">
                  <c:v>Abr-2016</c:v>
                </c:pt>
                <c:pt idx="14">
                  <c:v>Mai-2016</c:v>
                </c:pt>
                <c:pt idx="15">
                  <c:v>Jun-2016</c:v>
                </c:pt>
                <c:pt idx="16">
                  <c:v>Jul-2016</c:v>
                </c:pt>
                <c:pt idx="17">
                  <c:v>Ago-2016</c:v>
                </c:pt>
                <c:pt idx="18">
                  <c:v>Set-2016</c:v>
                </c:pt>
                <c:pt idx="19">
                  <c:v>Out-2016</c:v>
                </c:pt>
              </c:strCache>
            </c:strRef>
          </c:cat>
          <c:val>
            <c:numRef>
              <c:f>P!$I$39:$I$62</c:f>
              <c:numCache>
                <c:formatCode>0.00%</c:formatCode>
                <c:ptCount val="24"/>
                <c:pt idx="0">
                  <c:v>0</c:v>
                </c:pt>
                <c:pt idx="1">
                  <c:v>9.9300178142160078E-2</c:v>
                </c:pt>
                <c:pt idx="2">
                  <c:v>3.1482208462300099E-2</c:v>
                </c:pt>
                <c:pt idx="3">
                  <c:v>3.7746118487214764E-2</c:v>
                </c:pt>
                <c:pt idx="4">
                  <c:v>-5.579454687922869E-3</c:v>
                </c:pt>
                <c:pt idx="5">
                  <c:v>-8.8457983318136368E-2</c:v>
                </c:pt>
                <c:pt idx="6">
                  <c:v>-0.11907724237812756</c:v>
                </c:pt>
                <c:pt idx="7">
                  <c:v>-0.1032516809331584</c:v>
                </c:pt>
                <c:pt idx="8">
                  <c:v>-0.11788428423293307</c:v>
                </c:pt>
                <c:pt idx="9">
                  <c:v>-0.17204638265061156</c:v>
                </c:pt>
                <c:pt idx="10">
                  <c:v>-0.21005154236076695</c:v>
                </c:pt>
                <c:pt idx="11">
                  <c:v>-0.16336801292508185</c:v>
                </c:pt>
                <c:pt idx="12">
                  <c:v>-2.1405407138511579E-2</c:v>
                </c:pt>
                <c:pt idx="13">
                  <c:v>5.3965618093863243E-2</c:v>
                </c:pt>
                <c:pt idx="14">
                  <c:v>-4.1788921090373909E-2</c:v>
                </c:pt>
                <c:pt idx="15">
                  <c:v>7.3659593635679865E-3</c:v>
                </c:pt>
                <c:pt idx="16">
                  <c:v>0.1203916077681868</c:v>
                </c:pt>
                <c:pt idx="17">
                  <c:v>0.13198296935923559</c:v>
                </c:pt>
                <c:pt idx="18">
                  <c:v>0.14109222727749038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BA1-448E-A3FA-6BDA7515650B}"/>
            </c:ext>
          </c:extLst>
        </c:ser>
        <c:ser>
          <c:idx val="2"/>
          <c:order val="2"/>
          <c:tx>
            <c:strRef>
              <c:f>P!$J$38</c:f>
              <c:strCache>
                <c:ptCount val="1"/>
                <c:pt idx="0">
                  <c:v>IPCA</c:v>
                </c:pt>
              </c:strCache>
            </c:strRef>
          </c:tx>
          <c:spPr>
            <a:ln w="12700" cmpd="sng">
              <a:solidFill>
                <a:srgbClr val="F4CCCC"/>
              </a:solidFill>
            </a:ln>
          </c:spPr>
          <c:marker>
            <c:symbol val="circle"/>
            <c:size val="7"/>
            <c:spPr>
              <a:solidFill>
                <a:srgbClr val="F4CCCC"/>
              </a:solidFill>
              <a:ln cmpd="sng">
                <a:solidFill>
                  <a:srgbClr val="F4CCCC"/>
                </a:solidFill>
              </a:ln>
            </c:spPr>
          </c:marker>
          <c:cat>
            <c:strRef>
              <c:f>P!$A$39:$A$58</c:f>
              <c:strCache>
                <c:ptCount val="20"/>
                <c:pt idx="0">
                  <c:v>Mar-2015</c:v>
                </c:pt>
                <c:pt idx="1">
                  <c:v>Abr-2015</c:v>
                </c:pt>
                <c:pt idx="2">
                  <c:v>Mai-2015</c:v>
                </c:pt>
                <c:pt idx="3">
                  <c:v>Jun-2015</c:v>
                </c:pt>
                <c:pt idx="4">
                  <c:v>Jul-2015</c:v>
                </c:pt>
                <c:pt idx="5">
                  <c:v>Ago-2015</c:v>
                </c:pt>
                <c:pt idx="6">
                  <c:v>Set-2015</c:v>
                </c:pt>
                <c:pt idx="7">
                  <c:v>Out-2015</c:v>
                </c:pt>
                <c:pt idx="8">
                  <c:v>Nov-2015</c:v>
                </c:pt>
                <c:pt idx="9">
                  <c:v>Dez-2015</c:v>
                </c:pt>
                <c:pt idx="10">
                  <c:v>Jan-2016</c:v>
                </c:pt>
                <c:pt idx="11">
                  <c:v>Fev-2016</c:v>
                </c:pt>
                <c:pt idx="12">
                  <c:v>Mar-2016</c:v>
                </c:pt>
                <c:pt idx="13">
                  <c:v>Abr-2016</c:v>
                </c:pt>
                <c:pt idx="14">
                  <c:v>Mai-2016</c:v>
                </c:pt>
                <c:pt idx="15">
                  <c:v>Jun-2016</c:v>
                </c:pt>
                <c:pt idx="16">
                  <c:v>Jul-2016</c:v>
                </c:pt>
                <c:pt idx="17">
                  <c:v>Ago-2016</c:v>
                </c:pt>
                <c:pt idx="18">
                  <c:v>Set-2016</c:v>
                </c:pt>
                <c:pt idx="19">
                  <c:v>Out-2016</c:v>
                </c:pt>
              </c:strCache>
            </c:strRef>
          </c:cat>
          <c:val>
            <c:numRef>
              <c:f>P!$J$39:$J$62</c:f>
              <c:numCache>
                <c:formatCode>0.00%</c:formatCode>
                <c:ptCount val="24"/>
                <c:pt idx="0">
                  <c:v>0</c:v>
                </c:pt>
                <c:pt idx="1">
                  <c:v>1.32E-2</c:v>
                </c:pt>
                <c:pt idx="2">
                  <c:v>2.0393720000000171E-2</c:v>
                </c:pt>
                <c:pt idx="3">
                  <c:v>2.7944633528000251E-2</c:v>
                </c:pt>
                <c:pt idx="4">
                  <c:v>3.6065396132871408E-2</c:v>
                </c:pt>
                <c:pt idx="5">
                  <c:v>4.2489001588895237E-2</c:v>
                </c:pt>
                <c:pt idx="6">
                  <c:v>4.4782477392390829E-2</c:v>
                </c:pt>
                <c:pt idx="7">
                  <c:v>5.0424302770309737E-2</c:v>
                </c:pt>
                <c:pt idx="8">
                  <c:v>5.9037782053026344E-2</c:v>
                </c:pt>
                <c:pt idx="9">
                  <c:v>6.9734063651761824E-2</c:v>
                </c:pt>
                <c:pt idx="10">
                  <c:v>8.0003510662818744E-2</c:v>
                </c:pt>
                <c:pt idx="11">
                  <c:v>9.3719555248236386E-2</c:v>
                </c:pt>
                <c:pt idx="12">
                  <c:v>0.1035630312454705</c:v>
                </c:pt>
                <c:pt idx="13">
                  <c:v>0.10830835227982605</c:v>
                </c:pt>
                <c:pt idx="14">
                  <c:v>0.11506903322873296</c:v>
                </c:pt>
                <c:pt idx="15">
                  <c:v>0.12376657168791705</c:v>
                </c:pt>
                <c:pt idx="16">
                  <c:v>0.12769975468882477</c:v>
                </c:pt>
                <c:pt idx="17">
                  <c:v>0.13356379341320679</c:v>
                </c:pt>
                <c:pt idx="18">
                  <c:v>0.13855147410422486</c:v>
                </c:pt>
                <c:pt idx="19">
                  <c:v>0.14356110059028349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BA1-448E-A3FA-6BDA7515650B}"/>
            </c:ext>
          </c:extLst>
        </c:ser>
        <c:ser>
          <c:idx val="3"/>
          <c:order val="3"/>
          <c:tx>
            <c:strRef>
              <c:f>P!$K$38</c:f>
              <c:strCache>
                <c:ptCount val="1"/>
                <c:pt idx="0">
                  <c:v>CDI</c:v>
                </c:pt>
              </c:strCache>
            </c:strRef>
          </c:tx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P!$A$39:$A$58</c:f>
              <c:strCache>
                <c:ptCount val="20"/>
                <c:pt idx="0">
                  <c:v>Mar-2015</c:v>
                </c:pt>
                <c:pt idx="1">
                  <c:v>Abr-2015</c:v>
                </c:pt>
                <c:pt idx="2">
                  <c:v>Mai-2015</c:v>
                </c:pt>
                <c:pt idx="3">
                  <c:v>Jun-2015</c:v>
                </c:pt>
                <c:pt idx="4">
                  <c:v>Jul-2015</c:v>
                </c:pt>
                <c:pt idx="5">
                  <c:v>Ago-2015</c:v>
                </c:pt>
                <c:pt idx="6">
                  <c:v>Set-2015</c:v>
                </c:pt>
                <c:pt idx="7">
                  <c:v>Out-2015</c:v>
                </c:pt>
                <c:pt idx="8">
                  <c:v>Nov-2015</c:v>
                </c:pt>
                <c:pt idx="9">
                  <c:v>Dez-2015</c:v>
                </c:pt>
                <c:pt idx="10">
                  <c:v>Jan-2016</c:v>
                </c:pt>
                <c:pt idx="11">
                  <c:v>Fev-2016</c:v>
                </c:pt>
                <c:pt idx="12">
                  <c:v>Mar-2016</c:v>
                </c:pt>
                <c:pt idx="13">
                  <c:v>Abr-2016</c:v>
                </c:pt>
                <c:pt idx="14">
                  <c:v>Mai-2016</c:v>
                </c:pt>
                <c:pt idx="15">
                  <c:v>Jun-2016</c:v>
                </c:pt>
                <c:pt idx="16">
                  <c:v>Jul-2016</c:v>
                </c:pt>
                <c:pt idx="17">
                  <c:v>Ago-2016</c:v>
                </c:pt>
                <c:pt idx="18">
                  <c:v>Set-2016</c:v>
                </c:pt>
                <c:pt idx="19">
                  <c:v>Out-2016</c:v>
                </c:pt>
              </c:strCache>
            </c:strRef>
          </c:cat>
          <c:val>
            <c:numRef>
              <c:f>P!$K$39:$K$62</c:f>
              <c:numCache>
                <c:formatCode>0.00%</c:formatCode>
                <c:ptCount val="24"/>
                <c:pt idx="0" formatCode="General">
                  <c:v>0</c:v>
                </c:pt>
                <c:pt idx="1">
                  <c:v>9.4820000000000008E-3</c:v>
                </c:pt>
                <c:pt idx="2">
                  <c:v>1.9413283915999946E-2</c:v>
                </c:pt>
                <c:pt idx="3">
                  <c:v>3.0278190695976814E-2</c:v>
                </c:pt>
                <c:pt idx="4">
                  <c:v>4.2407655835040581E-2</c:v>
                </c:pt>
                <c:pt idx="5">
                  <c:v>5.3951278215757847E-2</c:v>
                </c:pt>
                <c:pt idx="6">
                  <c:v>6.5622734670719218E-2</c:v>
                </c:pt>
                <c:pt idx="7">
                  <c:v>7.7426637702666889E-2</c:v>
                </c:pt>
                <c:pt idx="8">
                  <c:v>8.8794566157067711E-2</c:v>
                </c:pt>
                <c:pt idx="9">
                  <c:v>0.1014387374538499</c:v>
                </c:pt>
                <c:pt idx="10">
                  <c:v>0.11305781469525056</c:v>
                </c:pt>
                <c:pt idx="11">
                  <c:v>0.12420397565160868</c:v>
                </c:pt>
                <c:pt idx="12">
                  <c:v>0.13725036278904579</c:v>
                </c:pt>
                <c:pt idx="13">
                  <c:v>0.14924153061429357</c:v>
                </c:pt>
                <c:pt idx="14">
                  <c:v>0.16199811160411226</c:v>
                </c:pt>
                <c:pt idx="15">
                  <c:v>0.17547728969872001</c:v>
                </c:pt>
                <c:pt idx="16">
                  <c:v>0.18852508761437603</c:v>
                </c:pt>
                <c:pt idx="17">
                  <c:v>0.20290624117450995</c:v>
                </c:pt>
                <c:pt idx="18">
                  <c:v>0.21553675670684225</c:v>
                </c:pt>
                <c:pt idx="19">
                  <c:v>0.22829989265226414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BA1-448E-A3FA-6BDA75156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01760"/>
        <c:axId val="62115840"/>
      </c:lineChart>
      <c:catAx>
        <c:axId val="62101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 lvl="0">
              <a:defRPr sz="1200" b="0">
                <a:solidFill>
                  <a:srgbClr val="222222"/>
                </a:solidFill>
              </a:defRPr>
            </a:pPr>
            <a:endParaRPr lang="pt-BR"/>
          </a:p>
        </c:txPr>
        <c:crossAx val="62115840"/>
        <c:crosses val="autoZero"/>
        <c:auto val="0"/>
        <c:lblAlgn val="ctr"/>
        <c:lblOffset val="100"/>
        <c:noMultiLvlLbl val="0"/>
      </c:catAx>
      <c:valAx>
        <c:axId val="62115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62101760"/>
        <c:crosses val="autoZero"/>
        <c:crossBetween val="between"/>
      </c:valAx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0">
                <a:solidFill>
                  <a:srgbClr val="000000"/>
                </a:solidFill>
                <a:latin typeface="Arial"/>
              </a:defRPr>
            </a:pPr>
            <a:r>
              <a:rPr lang="pt-BR"/>
              <a:t>Carteira de Ações x Aportes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P!$B$38</c:f>
              <c:strCache>
                <c:ptCount val="1"/>
                <c:pt idx="0">
                  <c:v>Carteira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cat>
            <c:strRef>
              <c:f>P!$A$39:$A$58</c:f>
              <c:strCache>
                <c:ptCount val="20"/>
                <c:pt idx="0">
                  <c:v>Mar-2015</c:v>
                </c:pt>
                <c:pt idx="1">
                  <c:v>Abr-2015</c:v>
                </c:pt>
                <c:pt idx="2">
                  <c:v>Mai-2015</c:v>
                </c:pt>
                <c:pt idx="3">
                  <c:v>Jun-2015</c:v>
                </c:pt>
                <c:pt idx="4">
                  <c:v>Jul-2015</c:v>
                </c:pt>
                <c:pt idx="5">
                  <c:v>Ago-2015</c:v>
                </c:pt>
                <c:pt idx="6">
                  <c:v>Set-2015</c:v>
                </c:pt>
                <c:pt idx="7">
                  <c:v>Out-2015</c:v>
                </c:pt>
                <c:pt idx="8">
                  <c:v>Nov-2015</c:v>
                </c:pt>
                <c:pt idx="9">
                  <c:v>Dez-2015</c:v>
                </c:pt>
                <c:pt idx="10">
                  <c:v>Jan-2016</c:v>
                </c:pt>
                <c:pt idx="11">
                  <c:v>Fev-2016</c:v>
                </c:pt>
                <c:pt idx="12">
                  <c:v>Mar-2016</c:v>
                </c:pt>
                <c:pt idx="13">
                  <c:v>Abr-2016</c:v>
                </c:pt>
                <c:pt idx="14">
                  <c:v>Mai-2016</c:v>
                </c:pt>
                <c:pt idx="15">
                  <c:v>Jun-2016</c:v>
                </c:pt>
                <c:pt idx="16">
                  <c:v>Jul-2016</c:v>
                </c:pt>
                <c:pt idx="17">
                  <c:v>Ago-2016</c:v>
                </c:pt>
                <c:pt idx="18">
                  <c:v>Set-2016</c:v>
                </c:pt>
                <c:pt idx="19">
                  <c:v>Out-2016</c:v>
                </c:pt>
              </c:strCache>
            </c:strRef>
          </c:cat>
          <c:val>
            <c:numRef>
              <c:f>P!$B$39:$B$58</c:f>
              <c:numCache>
                <c:formatCode>#,##0.00</c:formatCode>
                <c:ptCount val="20"/>
                <c:pt idx="0">
                  <c:v>7880</c:v>
                </c:pt>
                <c:pt idx="1">
                  <c:v>9832.0499999999993</c:v>
                </c:pt>
                <c:pt idx="2">
                  <c:v>12872.01</c:v>
                </c:pt>
                <c:pt idx="3">
                  <c:v>15468.71</c:v>
                </c:pt>
                <c:pt idx="4">
                  <c:v>15602.82</c:v>
                </c:pt>
                <c:pt idx="5">
                  <c:v>14767.29</c:v>
                </c:pt>
                <c:pt idx="6">
                  <c:v>14858.77</c:v>
                </c:pt>
                <c:pt idx="7">
                  <c:v>17021.52</c:v>
                </c:pt>
                <c:pt idx="8">
                  <c:v>18123.72</c:v>
                </c:pt>
                <c:pt idx="9">
                  <c:v>18367</c:v>
                </c:pt>
                <c:pt idx="10">
                  <c:v>18642.2</c:v>
                </c:pt>
                <c:pt idx="11">
                  <c:v>20441.060000000001</c:v>
                </c:pt>
                <c:pt idx="12">
                  <c:v>28263.99</c:v>
                </c:pt>
                <c:pt idx="13">
                  <c:v>32260.7</c:v>
                </c:pt>
                <c:pt idx="14">
                  <c:v>30654.19</c:v>
                </c:pt>
                <c:pt idx="15">
                  <c:v>34661.58</c:v>
                </c:pt>
                <c:pt idx="16">
                  <c:v>43781.85</c:v>
                </c:pt>
                <c:pt idx="17">
                  <c:v>45874.5</c:v>
                </c:pt>
                <c:pt idx="18">
                  <c:v>47152.73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70-46AB-98F7-2D09FA6BA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136704"/>
        <c:axId val="62139008"/>
      </c:barChart>
      <c:lineChart>
        <c:grouping val="standard"/>
        <c:varyColors val="0"/>
        <c:ser>
          <c:idx val="1"/>
          <c:order val="1"/>
          <c:tx>
            <c:strRef>
              <c:f>P!$D$38</c:f>
              <c:strCache>
                <c:ptCount val="1"/>
                <c:pt idx="0">
                  <c:v>Aportes</c:v>
                </c:pt>
              </c:strCache>
            </c:strRef>
          </c:tx>
          <c:spPr>
            <a:ln w="25400" cmpd="sng">
              <a:solidFill>
                <a:srgbClr val="F1C232"/>
              </a:solidFill>
            </a:ln>
          </c:spPr>
          <c:marker>
            <c:symbol val="circle"/>
            <c:size val="7"/>
            <c:spPr>
              <a:solidFill>
                <a:srgbClr val="F1C232"/>
              </a:solidFill>
              <a:ln cmpd="sng">
                <a:solidFill>
                  <a:srgbClr val="F1C232"/>
                </a:solidFill>
              </a:ln>
            </c:spPr>
          </c:marker>
          <c:cat>
            <c:strRef>
              <c:f>P!$A$39:$A$58</c:f>
              <c:strCache>
                <c:ptCount val="20"/>
                <c:pt idx="0">
                  <c:v>Mar-2015</c:v>
                </c:pt>
                <c:pt idx="1">
                  <c:v>Abr-2015</c:v>
                </c:pt>
                <c:pt idx="2">
                  <c:v>Mai-2015</c:v>
                </c:pt>
                <c:pt idx="3">
                  <c:v>Jun-2015</c:v>
                </c:pt>
                <c:pt idx="4">
                  <c:v>Jul-2015</c:v>
                </c:pt>
                <c:pt idx="5">
                  <c:v>Ago-2015</c:v>
                </c:pt>
                <c:pt idx="6">
                  <c:v>Set-2015</c:v>
                </c:pt>
                <c:pt idx="7">
                  <c:v>Out-2015</c:v>
                </c:pt>
                <c:pt idx="8">
                  <c:v>Nov-2015</c:v>
                </c:pt>
                <c:pt idx="9">
                  <c:v>Dez-2015</c:v>
                </c:pt>
                <c:pt idx="10">
                  <c:v>Jan-2016</c:v>
                </c:pt>
                <c:pt idx="11">
                  <c:v>Fev-2016</c:v>
                </c:pt>
                <c:pt idx="12">
                  <c:v>Mar-2016</c:v>
                </c:pt>
                <c:pt idx="13">
                  <c:v>Abr-2016</c:v>
                </c:pt>
                <c:pt idx="14">
                  <c:v>Mai-2016</c:v>
                </c:pt>
                <c:pt idx="15">
                  <c:v>Jun-2016</c:v>
                </c:pt>
                <c:pt idx="16">
                  <c:v>Jul-2016</c:v>
                </c:pt>
                <c:pt idx="17">
                  <c:v>Ago-2016</c:v>
                </c:pt>
                <c:pt idx="18">
                  <c:v>Set-2016</c:v>
                </c:pt>
                <c:pt idx="19">
                  <c:v>Out-2016</c:v>
                </c:pt>
              </c:strCache>
            </c:strRef>
          </c:cat>
          <c:val>
            <c:numRef>
              <c:f>P!$D$39:$D$59</c:f>
              <c:numCache>
                <c:formatCode>#,##0.00</c:formatCode>
                <c:ptCount val="21"/>
                <c:pt idx="0">
                  <c:v>7880</c:v>
                </c:pt>
                <c:pt idx="1">
                  <c:v>9456</c:v>
                </c:pt>
                <c:pt idx="2">
                  <c:v>11032</c:v>
                </c:pt>
                <c:pt idx="3">
                  <c:v>12608</c:v>
                </c:pt>
                <c:pt idx="4">
                  <c:v>14184</c:v>
                </c:pt>
                <c:pt idx="5">
                  <c:v>15760</c:v>
                </c:pt>
                <c:pt idx="6">
                  <c:v>17336</c:v>
                </c:pt>
                <c:pt idx="7">
                  <c:v>18912</c:v>
                </c:pt>
                <c:pt idx="8">
                  <c:v>20488</c:v>
                </c:pt>
                <c:pt idx="9">
                  <c:v>22064</c:v>
                </c:pt>
                <c:pt idx="10">
                  <c:v>23824</c:v>
                </c:pt>
                <c:pt idx="11">
                  <c:v>25584</c:v>
                </c:pt>
                <c:pt idx="12">
                  <c:v>27344</c:v>
                </c:pt>
                <c:pt idx="13">
                  <c:v>29104</c:v>
                </c:pt>
                <c:pt idx="14">
                  <c:v>30864</c:v>
                </c:pt>
                <c:pt idx="15">
                  <c:v>32624</c:v>
                </c:pt>
                <c:pt idx="16">
                  <c:v>34384</c:v>
                </c:pt>
                <c:pt idx="17">
                  <c:v>36144</c:v>
                </c:pt>
                <c:pt idx="18">
                  <c:v>37904</c:v>
                </c:pt>
                <c:pt idx="19">
                  <c:v>39664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A70-46AB-98F7-2D09FA6BA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36704"/>
        <c:axId val="62139008"/>
      </c:lineChart>
      <c:catAx>
        <c:axId val="6213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i="1">
                    <a:solidFill>
                      <a:srgbClr val="222222"/>
                    </a:solidFill>
                    <a:latin typeface="Arial"/>
                  </a:defRPr>
                </a:pPr>
                <a:endParaRPr lang="pt-BR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 lvl="0">
              <a:defRPr sz="1000">
                <a:solidFill>
                  <a:srgbClr val="222222"/>
                </a:solidFill>
                <a:latin typeface="Arial"/>
              </a:defRPr>
            </a:pPr>
            <a:endParaRPr lang="pt-BR"/>
          </a:p>
        </c:txPr>
        <c:crossAx val="62139008"/>
        <c:crosses val="autoZero"/>
        <c:auto val="0"/>
        <c:lblAlgn val="ctr"/>
        <c:lblOffset val="100"/>
        <c:noMultiLvlLbl val="0"/>
      </c:catAx>
      <c:valAx>
        <c:axId val="62139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>
                    <a:latin typeface="Arial"/>
                  </a:defRPr>
                </a:pPr>
                <a:endParaRPr lang="pt-BR"/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100" i="0">
                <a:solidFill>
                  <a:srgbClr val="000000"/>
                </a:solidFill>
                <a:latin typeface="Arial"/>
              </a:defRPr>
            </a:pPr>
            <a:endParaRPr lang="pt-BR"/>
          </a:p>
        </c:txPr>
        <c:crossAx val="6213670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>
              <a:latin typeface="Arial"/>
            </a:defRPr>
          </a:pPr>
          <a:endParaRPr lang="pt-BR"/>
        </a:p>
      </c:txPr>
    </c:legend>
    <c:plotVisOnly val="0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124</xdr:row>
      <xdr:rowOff>9525</xdr:rowOff>
    </xdr:from>
    <xdr:to>
      <xdr:col>14</xdr:col>
      <xdr:colOff>628650</xdr:colOff>
      <xdr:row>154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76200</xdr:colOff>
      <xdr:row>65</xdr:row>
      <xdr:rowOff>38100</xdr:rowOff>
    </xdr:from>
    <xdr:to>
      <xdr:col>14</xdr:col>
      <xdr:colOff>638175</xdr:colOff>
      <xdr:row>95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76200</xdr:colOff>
      <xdr:row>96</xdr:row>
      <xdr:rowOff>123825</xdr:rowOff>
    </xdr:from>
    <xdr:to>
      <xdr:col>14</xdr:col>
      <xdr:colOff>628650</xdr:colOff>
      <xdr:row>122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</xdr:col>
      <xdr:colOff>19050</xdr:colOff>
      <xdr:row>34</xdr:row>
      <xdr:rowOff>0</xdr:rowOff>
    </xdr:from>
    <xdr:to>
      <xdr:col>16</xdr:col>
      <xdr:colOff>723899</xdr:colOff>
      <xdr:row>37</xdr:row>
      <xdr:rowOff>0</xdr:rowOff>
    </xdr:to>
    <xdr:sp macro="" textlink="">
      <xdr:nvSpPr>
        <xdr:cNvPr id="5" name="Retângulo de cantos arredondados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43000" y="5505450"/>
          <a:ext cx="11696699" cy="485775"/>
        </a:xfrm>
        <a:prstGeom prst="roundRect">
          <a:avLst>
            <a:gd name="adj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295275</xdr:colOff>
      <xdr:row>58</xdr:row>
      <xdr:rowOff>133350</xdr:rowOff>
    </xdr:to>
    <xdr:sp macro="" textlink="">
      <xdr:nvSpPr>
        <xdr:cNvPr id="9230" name="Rectangle 14" hidden="1">
          <a:extLs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295275</xdr:colOff>
      <xdr:row>58</xdr:row>
      <xdr:rowOff>133350</xdr:rowOff>
    </xdr:to>
    <xdr:sp macro="" textlink="">
      <xdr:nvSpPr>
        <xdr:cNvPr id="6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447675</xdr:colOff>
      <xdr:row>53</xdr:row>
      <xdr:rowOff>66675</xdr:rowOff>
    </xdr:to>
    <xdr:sp macro="" textlink="">
      <xdr:nvSpPr>
        <xdr:cNvPr id="1031" name="Rectangle 7" hidden="1"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447675</xdr:colOff>
      <xdr:row>53</xdr:row>
      <xdr:rowOff>66675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123825</xdr:colOff>
      <xdr:row>54</xdr:row>
      <xdr:rowOff>57150</xdr:rowOff>
    </xdr:to>
    <xdr:sp macro="" textlink="">
      <xdr:nvSpPr>
        <xdr:cNvPr id="2056" name="Rectangle 8" hidden="1">
          <a:extLst>
            <a:ext uri="{FF2B5EF4-FFF2-40B4-BE49-F238E27FC236}">
              <a16:creationId xmlns:a16="http://schemas.microsoft.com/office/drawing/2014/main" id="{00000000-0008-0000-0300-000008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123825</xdr:colOff>
      <xdr:row>54</xdr:row>
      <xdr:rowOff>57150</xdr:rowOff>
    </xdr:to>
    <xdr:sp macro="" textlink="">
      <xdr:nvSpPr>
        <xdr:cNvPr id="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209550</xdr:colOff>
      <xdr:row>52</xdr:row>
      <xdr:rowOff>114300</xdr:rowOff>
    </xdr:to>
    <xdr:sp macro="" textlink="">
      <xdr:nvSpPr>
        <xdr:cNvPr id="3079" name="Rectangle 7" hidden="1">
          <a:extLst>
            <a:ext uri="{FF2B5EF4-FFF2-40B4-BE49-F238E27FC236}">
              <a16:creationId xmlns:a16="http://schemas.microsoft.com/office/drawing/2014/main" id="{00000000-0008-0000-0500-0000070C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209550</xdr:colOff>
      <xdr:row>52</xdr:row>
      <xdr:rowOff>114300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209550</xdr:colOff>
      <xdr:row>52</xdr:row>
      <xdr:rowOff>0</xdr:rowOff>
    </xdr:to>
    <xdr:sp macro="" textlink="">
      <xdr:nvSpPr>
        <xdr:cNvPr id="4101" name="Rectangle 5" hidden="1">
          <a:extLst>
            <a:ext uri="{FF2B5EF4-FFF2-40B4-BE49-F238E27FC236}">
              <a16:creationId xmlns:a16="http://schemas.microsoft.com/office/drawing/2014/main" id="{00000000-0008-0000-0600-0000051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209550</xdr:colOff>
      <xdr:row>52</xdr:row>
      <xdr:rowOff>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209550</xdr:colOff>
      <xdr:row>51</xdr:row>
      <xdr:rowOff>85725</xdr:rowOff>
    </xdr:to>
    <xdr:sp macro="" textlink="">
      <xdr:nvSpPr>
        <xdr:cNvPr id="5124" name="Rectangle 4" hidden="1">
          <a:extLst>
            <a:ext uri="{FF2B5EF4-FFF2-40B4-BE49-F238E27FC236}">
              <a16:creationId xmlns:a16="http://schemas.microsoft.com/office/drawing/2014/main" id="{00000000-0008-0000-0700-0000041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209550</xdr:colOff>
      <xdr:row>51</xdr:row>
      <xdr:rowOff>85725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209550</xdr:colOff>
      <xdr:row>51</xdr:row>
      <xdr:rowOff>161925</xdr:rowOff>
    </xdr:to>
    <xdr:sp macro="" textlink="">
      <xdr:nvSpPr>
        <xdr:cNvPr id="6146" name="Rectangle 2" hidden="1">
          <a:extLst>
            <a:ext uri="{FF2B5EF4-FFF2-40B4-BE49-F238E27FC236}">
              <a16:creationId xmlns:a16="http://schemas.microsoft.com/office/drawing/2014/main" id="{00000000-0008-0000-0C00-0000021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209550</xdr:colOff>
      <xdr:row>51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209550</xdr:colOff>
      <xdr:row>51</xdr:row>
      <xdr:rowOff>47625</xdr:rowOff>
    </xdr:to>
    <xdr:sp macro="" textlink="">
      <xdr:nvSpPr>
        <xdr:cNvPr id="7170" name="Rectangle 2" hidden="1">
          <a:extLst>
            <a:ext uri="{FF2B5EF4-FFF2-40B4-BE49-F238E27FC236}">
              <a16:creationId xmlns:a16="http://schemas.microsoft.com/office/drawing/2014/main" id="{00000000-0008-0000-0D00-0000021C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209550</xdr:colOff>
      <xdr:row>51</xdr:row>
      <xdr:rowOff>47625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600075</xdr:colOff>
      <xdr:row>47</xdr:row>
      <xdr:rowOff>123825</xdr:rowOff>
    </xdr:to>
    <xdr:sp macro="" textlink="">
      <xdr:nvSpPr>
        <xdr:cNvPr id="8194" name="Rectangle 2" hidden="1">
          <a:extLst>
            <a:ext uri="{FF2B5EF4-FFF2-40B4-BE49-F238E27FC236}">
              <a16:creationId xmlns:a16="http://schemas.microsoft.com/office/drawing/2014/main" id="{00000000-0008-0000-0E00-0000022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600075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roldobatista.blogspot.com.br/2015/05/planilha-basica-para-investimento-em.html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Q15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S15" sqref="S15"/>
    </sheetView>
  </sheetViews>
  <sheetFormatPr defaultColWidth="17.28515625" defaultRowHeight="15.75" customHeight="1"/>
  <cols>
    <col min="1" max="1" width="16.85546875" customWidth="1"/>
    <col min="2" max="2" width="14.28515625" customWidth="1"/>
    <col min="3" max="3" width="9.7109375" customWidth="1"/>
    <col min="4" max="4" width="9" customWidth="1"/>
    <col min="5" max="5" width="10.5703125" customWidth="1"/>
    <col min="6" max="6" width="11.7109375" customWidth="1"/>
    <col min="7" max="7" width="10.7109375" customWidth="1"/>
    <col min="8" max="8" width="10.85546875" customWidth="1"/>
    <col min="9" max="9" width="12.5703125" customWidth="1"/>
    <col min="10" max="10" width="11.42578125" customWidth="1"/>
    <col min="11" max="11" width="10" customWidth="1"/>
    <col min="12" max="15" width="10.7109375" customWidth="1"/>
    <col min="16" max="17" width="11.140625" customWidth="1"/>
  </cols>
  <sheetData>
    <row r="1" spans="1:17" ht="12.75" customHeight="1">
      <c r="A1" s="40" t="str">
        <f ca="1">IFERROR(__xludf.DUMMYFUNCTION("GOOGLEFINANCE(""ibov"")"),"60,459.60")</f>
        <v>60,459.60</v>
      </c>
      <c r="B1" s="42" t="s">
        <v>1</v>
      </c>
      <c r="C1" s="42" t="s">
        <v>4</v>
      </c>
      <c r="D1" s="42" t="s">
        <v>21</v>
      </c>
      <c r="E1" s="42" t="s">
        <v>24</v>
      </c>
      <c r="F1" s="42" t="s">
        <v>25</v>
      </c>
      <c r="G1" s="42" t="s">
        <v>22</v>
      </c>
      <c r="H1" s="42" t="s">
        <v>26</v>
      </c>
      <c r="I1" s="42" t="s">
        <v>27</v>
      </c>
      <c r="J1" s="42" t="s">
        <v>28</v>
      </c>
      <c r="K1" s="42" t="s">
        <v>29</v>
      </c>
      <c r="L1" s="42" t="s">
        <v>30</v>
      </c>
      <c r="M1" s="42" t="s">
        <v>31</v>
      </c>
      <c r="N1" s="42" t="s">
        <v>32</v>
      </c>
      <c r="O1" s="42" t="s">
        <v>33</v>
      </c>
      <c r="P1" s="42" t="s">
        <v>34</v>
      </c>
      <c r="Q1" s="42" t="s">
        <v>35</v>
      </c>
    </row>
    <row r="2" spans="1:17" ht="12.75" customHeight="1">
      <c r="A2" s="44">
        <f ca="1">NOW()</f>
        <v>45511.687532986114</v>
      </c>
      <c r="B2" s="45" t="e">
        <f ca="1">SUM(B3:B14)</f>
        <v>#VALUE!</v>
      </c>
      <c r="C2" s="46"/>
      <c r="D2" s="47">
        <f ca="1">NOW()</f>
        <v>45511.687532986114</v>
      </c>
      <c r="E2" s="49" t="e">
        <f ca="1">F2/P2</f>
        <v>#VALUE!</v>
      </c>
      <c r="F2" s="50">
        <f ca="1">SUM(F3:F14)</f>
        <v>0</v>
      </c>
      <c r="G2" s="50" t="e">
        <f ca="1">P2-D34</f>
        <v>#VALUE!</v>
      </c>
      <c r="H2" s="49" t="e">
        <f ca="1">P2/C34-1</f>
        <v>#VALUE!</v>
      </c>
      <c r="I2" s="52" t="str">
        <f ca="1">IFERROR(__xludf.DUMMYFUNCTION("SPARKLINE(GoogleFinance(""ibov"",""price"",TODAY()-122,TODAY()))"),"#N/A")</f>
        <v>#N/A</v>
      </c>
      <c r="J2" s="46">
        <f>SUM(J3:J14)</f>
        <v>1151.9597531737127</v>
      </c>
      <c r="K2" s="54" t="e">
        <f t="shared" ref="K2:K14" ca="1" si="0">SUM((J2/P2))</f>
        <v>#VALUE!</v>
      </c>
      <c r="L2" s="56" t="s">
        <v>36</v>
      </c>
      <c r="M2" s="46"/>
      <c r="N2" s="46"/>
      <c r="O2" s="46" t="e">
        <f t="shared" ref="O2:Q2" ca="1" si="1">SUM(O3:O14)</f>
        <v>#VALUE!</v>
      </c>
      <c r="P2" s="46" t="e">
        <f t="shared" ca="1" si="1"/>
        <v>#VALUE!</v>
      </c>
      <c r="Q2" s="46">
        <f t="shared" si="1"/>
        <v>0</v>
      </c>
    </row>
    <row r="3" spans="1:17" ht="12.75" customHeight="1">
      <c r="A3" s="57" t="str">
        <f>BBAS!A1</f>
        <v>BBAS3</v>
      </c>
      <c r="B3" s="59" t="e">
        <f ca="1">BBAS!B2</f>
        <v>#VALUE!</v>
      </c>
      <c r="C3" s="61" t="e">
        <f ca="1">BBAS!D2</f>
        <v>#VALUE!</v>
      </c>
      <c r="D3" s="62" t="str">
        <f t="shared" ref="D3:D14" ca="1" si="2">IFERROR(__xludf.DUMMYFUNCTION("GOOGLEFINANCE(A3)"),"24.51")</f>
        <v>24.51</v>
      </c>
      <c r="E3" s="63" t="str">
        <f t="shared" ref="E3:E14" ca="1" si="3">IFERROR(__xludf.DUMMYFUNCTION("GOOGLEFINANCE(A3,""changepct"")/100"),"2.42%")</f>
        <v>2.42%</v>
      </c>
      <c r="F3" s="64" t="str">
        <f t="shared" ref="F3:F14" ca="1" si="4">IFERROR(__xludf.DUMMYFUNCTION("GoogleFinance(A3,""change"")*B3"),"161.24")</f>
        <v>161.24</v>
      </c>
      <c r="G3" s="65" t="e">
        <f t="shared" ref="G3:G14" ca="1" si="5">SUM((P3-O3))</f>
        <v>#VALUE!</v>
      </c>
      <c r="H3" s="67" t="e">
        <f t="shared" ref="H3:H14" ca="1" si="6">SUM((G3/O3))</f>
        <v>#VALUE!</v>
      </c>
      <c r="I3" s="68" t="str">
        <f t="shared" ref="I3:I14" ca="1" si="7">IFERROR(__xludf.DUMMYFUNCTION("SPARKLINE(GoogleFinance(A3,""price"",TODAY()-122,TODAY()))"),"#N/A")</f>
        <v>#N/A</v>
      </c>
      <c r="J3" s="65">
        <f>((BBAS!H2+BBAS!I2)+BBAS!J2)+BBAS!K2</f>
        <v>414.46655170071</v>
      </c>
      <c r="K3" s="70" t="e">
        <f t="shared" ca="1" si="0"/>
        <v>#VALUE!</v>
      </c>
      <c r="L3" s="65">
        <v>15</v>
      </c>
      <c r="M3" s="72" t="e">
        <f ca="1">P3/P2</f>
        <v>#VALUE!</v>
      </c>
      <c r="N3" s="72" t="e">
        <f ca="1">SUM(P3/(P2*(L3/100)))</f>
        <v>#VALUE!</v>
      </c>
      <c r="O3" s="65" t="e">
        <f t="shared" ref="O3:O14" ca="1" si="8">SUM((B3*C3))</f>
        <v>#VALUE!</v>
      </c>
      <c r="P3" s="65" t="e">
        <f t="shared" ref="P3:P14" ca="1" si="9">SUM((B3*D3))</f>
        <v>#VALUE!</v>
      </c>
      <c r="Q3" s="65"/>
    </row>
    <row r="4" spans="1:17" ht="12.75" customHeight="1">
      <c r="A4" s="57" t="str">
        <f>BBDC!A1</f>
        <v>BBDC4</v>
      </c>
      <c r="B4" s="59" t="e">
        <f ca="1">BBDC!B2</f>
        <v>#VALUE!</v>
      </c>
      <c r="C4" s="61" t="e">
        <f ca="1">BBDC!D2</f>
        <v>#VALUE!</v>
      </c>
      <c r="D4" s="62" t="str">
        <f t="shared" ca="1" si="2"/>
        <v>24.51</v>
      </c>
      <c r="E4" s="63" t="str">
        <f t="shared" ca="1" si="3"/>
        <v>2.42%</v>
      </c>
      <c r="F4" s="64" t="str">
        <f t="shared" ca="1" si="4"/>
        <v>161.24</v>
      </c>
      <c r="G4" s="65" t="e">
        <f t="shared" ca="1" si="5"/>
        <v>#VALUE!</v>
      </c>
      <c r="H4" s="67" t="e">
        <f t="shared" ca="1" si="6"/>
        <v>#VALUE!</v>
      </c>
      <c r="I4" s="68" t="str">
        <f t="shared" ca="1" si="7"/>
        <v>#N/A</v>
      </c>
      <c r="J4" s="65">
        <f>((BBDC!H2+BBDC!I2)+BBDC!J2)+BBDC!K2</f>
        <v>37.791999701999998</v>
      </c>
      <c r="K4" s="70" t="e">
        <f t="shared" ca="1" si="0"/>
        <v>#VALUE!</v>
      </c>
      <c r="L4" s="65">
        <v>5</v>
      </c>
      <c r="M4" s="72" t="e">
        <f ca="1">P4/P2</f>
        <v>#VALUE!</v>
      </c>
      <c r="N4" s="72" t="e">
        <f ca="1">SUM(P4/(P2*(L4/100)))</f>
        <v>#VALUE!</v>
      </c>
      <c r="O4" s="65" t="e">
        <f t="shared" ca="1" si="8"/>
        <v>#VALUE!</v>
      </c>
      <c r="P4" s="65" t="e">
        <f t="shared" ca="1" si="9"/>
        <v>#VALUE!</v>
      </c>
      <c r="Q4" s="65"/>
    </row>
    <row r="5" spans="1:17" ht="12.75" customHeight="1">
      <c r="A5" s="57" t="s">
        <v>40</v>
      </c>
      <c r="B5" s="59" t="e">
        <f ca="1">BBSE!B2</f>
        <v>#VALUE!</v>
      </c>
      <c r="C5" s="61" t="e">
        <f ca="1">BBSE!D2</f>
        <v>#VALUE!</v>
      </c>
      <c r="D5" s="62" t="str">
        <f t="shared" ca="1" si="2"/>
        <v>24.51</v>
      </c>
      <c r="E5" s="63" t="str">
        <f t="shared" ca="1" si="3"/>
        <v>2.42%</v>
      </c>
      <c r="F5" s="64" t="str">
        <f t="shared" ca="1" si="4"/>
        <v>161.24</v>
      </c>
      <c r="G5" s="65" t="e">
        <f t="shared" ca="1" si="5"/>
        <v>#VALUE!</v>
      </c>
      <c r="H5" s="67" t="e">
        <f t="shared" ca="1" si="6"/>
        <v>#VALUE!</v>
      </c>
      <c r="I5" s="68" t="str">
        <f t="shared" ca="1" si="7"/>
        <v>#N/A</v>
      </c>
      <c r="J5" s="65">
        <f>((BBSE!H2+BBSE!I2)+BBSE!J2)+BBSE!K2</f>
        <v>58.338000000000001</v>
      </c>
      <c r="K5" s="70" t="e">
        <f t="shared" ca="1" si="0"/>
        <v>#VALUE!</v>
      </c>
      <c r="L5" s="65">
        <v>5</v>
      </c>
      <c r="M5" s="72" t="e">
        <f ca="1">P5/P2</f>
        <v>#VALUE!</v>
      </c>
      <c r="N5" s="72" t="e">
        <f ca="1">SUM(P5/(P2*(L5/100)))</f>
        <v>#VALUE!</v>
      </c>
      <c r="O5" s="65" t="e">
        <f t="shared" ca="1" si="8"/>
        <v>#VALUE!</v>
      </c>
      <c r="P5" s="65" t="e">
        <f t="shared" ca="1" si="9"/>
        <v>#VALUE!</v>
      </c>
      <c r="Q5" s="65"/>
    </row>
    <row r="6" spans="1:17" ht="12.75" customHeight="1">
      <c r="A6" s="57" t="str">
        <f>BVMF!A1</f>
        <v>BVMF3</v>
      </c>
      <c r="B6" s="59" t="e">
        <f ca="1">BVMF!B2</f>
        <v>#VALUE!</v>
      </c>
      <c r="C6" s="61" t="e">
        <f ca="1">BVMF!D2</f>
        <v>#VALUE!</v>
      </c>
      <c r="D6" s="62" t="str">
        <f t="shared" ca="1" si="2"/>
        <v>24.51</v>
      </c>
      <c r="E6" s="63" t="str">
        <f t="shared" ca="1" si="3"/>
        <v>2.42%</v>
      </c>
      <c r="F6" s="64" t="str">
        <f t="shared" ca="1" si="4"/>
        <v>161.24</v>
      </c>
      <c r="G6" s="65" t="e">
        <f t="shared" ca="1" si="5"/>
        <v>#VALUE!</v>
      </c>
      <c r="H6" s="67" t="e">
        <f t="shared" ca="1" si="6"/>
        <v>#VALUE!</v>
      </c>
      <c r="I6" s="68" t="str">
        <f t="shared" ca="1" si="7"/>
        <v>#N/A</v>
      </c>
      <c r="J6" s="65">
        <f>((BVMF!H2+BVMF!I2)+BVMF!J2)+BVMF!K2</f>
        <v>149.52917793999998</v>
      </c>
      <c r="K6" s="70" t="e">
        <f t="shared" ca="1" si="0"/>
        <v>#VALUE!</v>
      </c>
      <c r="L6" s="65">
        <v>7.5</v>
      </c>
      <c r="M6" s="72" t="e">
        <f ca="1">P6/P2</f>
        <v>#VALUE!</v>
      </c>
      <c r="N6" s="72" t="e">
        <f ca="1">SUM(P6/(P2*(L6/100)))</f>
        <v>#VALUE!</v>
      </c>
      <c r="O6" s="65" t="e">
        <f t="shared" ca="1" si="8"/>
        <v>#VALUE!</v>
      </c>
      <c r="P6" s="65" t="e">
        <f t="shared" ca="1" si="9"/>
        <v>#VALUE!</v>
      </c>
      <c r="Q6" s="65"/>
    </row>
    <row r="7" spans="1:17" ht="12.75" customHeight="1">
      <c r="A7" s="57" t="str">
        <f>CGAS!A1</f>
        <v>CGAS5</v>
      </c>
      <c r="B7" s="59" t="e">
        <f ca="1">CGAS!B2</f>
        <v>#VALUE!</v>
      </c>
      <c r="C7" s="61" t="e">
        <f ca="1">CGAS!D2</f>
        <v>#VALUE!</v>
      </c>
      <c r="D7" s="62" t="str">
        <f t="shared" ca="1" si="2"/>
        <v>24.51</v>
      </c>
      <c r="E7" s="63" t="str">
        <f t="shared" ca="1" si="3"/>
        <v>2.42%</v>
      </c>
      <c r="F7" s="64" t="str">
        <f t="shared" ca="1" si="4"/>
        <v>161.24</v>
      </c>
      <c r="G7" s="65" t="e">
        <f t="shared" ca="1" si="5"/>
        <v>#VALUE!</v>
      </c>
      <c r="H7" s="67" t="e">
        <f t="shared" ca="1" si="6"/>
        <v>#VALUE!</v>
      </c>
      <c r="I7" s="68" t="str">
        <f t="shared" ca="1" si="7"/>
        <v>#N/A</v>
      </c>
      <c r="J7" s="65">
        <f>((CGAS!H2+CGAS!I2)+CGAS!J2)+CGAS!K2</f>
        <v>354.1514813310028</v>
      </c>
      <c r="K7" s="70" t="e">
        <f t="shared" ca="1" si="0"/>
        <v>#VALUE!</v>
      </c>
      <c r="L7" s="65">
        <v>7.5</v>
      </c>
      <c r="M7" s="72" t="e">
        <f ca="1">P7/P2</f>
        <v>#VALUE!</v>
      </c>
      <c r="N7" s="72" t="e">
        <f ca="1">SUM(P7/(P2*(L7/100)))</f>
        <v>#VALUE!</v>
      </c>
      <c r="O7" s="65" t="e">
        <f t="shared" ca="1" si="8"/>
        <v>#VALUE!</v>
      </c>
      <c r="P7" s="65" t="e">
        <f t="shared" ca="1" si="9"/>
        <v>#VALUE!</v>
      </c>
      <c r="Q7" s="65"/>
    </row>
    <row r="8" spans="1:17" ht="12.75" customHeight="1">
      <c r="A8" s="57" t="str">
        <f>CIEL!A1</f>
        <v>CIEL3</v>
      </c>
      <c r="B8" s="59" t="e">
        <f ca="1">CIEL!B2</f>
        <v>#VALUE!</v>
      </c>
      <c r="C8" s="61" t="e">
        <f ca="1">CIEL!D2</f>
        <v>#VALUE!</v>
      </c>
      <c r="D8" s="62" t="str">
        <f t="shared" ca="1" si="2"/>
        <v>24.51</v>
      </c>
      <c r="E8" s="63" t="str">
        <f t="shared" ca="1" si="3"/>
        <v>2.42%</v>
      </c>
      <c r="F8" s="64" t="str">
        <f t="shared" ca="1" si="4"/>
        <v>161.24</v>
      </c>
      <c r="G8" s="65" t="e">
        <f t="shared" ca="1" si="5"/>
        <v>#VALUE!</v>
      </c>
      <c r="H8" s="67" t="e">
        <f t="shared" ca="1" si="6"/>
        <v>#VALUE!</v>
      </c>
      <c r="I8" s="68" t="str">
        <f t="shared" ca="1" si="7"/>
        <v>#N/A</v>
      </c>
      <c r="J8" s="65">
        <f>((CIEL!H2+CIEL!I2)+CIEL!J2)+CIEL!K2</f>
        <v>44.056635274999998</v>
      </c>
      <c r="K8" s="70" t="e">
        <f t="shared" ca="1" si="0"/>
        <v>#VALUE!</v>
      </c>
      <c r="L8" s="65">
        <v>5</v>
      </c>
      <c r="M8" s="72" t="e">
        <f ca="1">P8/P2</f>
        <v>#VALUE!</v>
      </c>
      <c r="N8" s="72" t="e">
        <f ca="1">SUM(P8/(P2*(L8/100)))</f>
        <v>#VALUE!</v>
      </c>
      <c r="O8" s="65" t="e">
        <f t="shared" ca="1" si="8"/>
        <v>#VALUE!</v>
      </c>
      <c r="P8" s="65" t="e">
        <f t="shared" ca="1" si="9"/>
        <v>#VALUE!</v>
      </c>
      <c r="Q8" s="65"/>
    </row>
    <row r="9" spans="1:17" ht="12.75" customHeight="1">
      <c r="A9" s="57" t="s">
        <v>41</v>
      </c>
      <c r="B9" s="59" t="e">
        <f ca="1">CMIG!B2</f>
        <v>#VALUE!</v>
      </c>
      <c r="C9" s="61" t="e">
        <f ca="1">CMIG!D2</f>
        <v>#VALUE!</v>
      </c>
      <c r="D9" s="62" t="str">
        <f t="shared" ca="1" si="2"/>
        <v>24.51</v>
      </c>
      <c r="E9" s="63" t="str">
        <f t="shared" ca="1" si="3"/>
        <v>2.42%</v>
      </c>
      <c r="F9" s="64" t="str">
        <f t="shared" ca="1" si="4"/>
        <v>161.24</v>
      </c>
      <c r="G9" s="65" t="e">
        <f t="shared" ca="1" si="5"/>
        <v>#VALUE!</v>
      </c>
      <c r="H9" s="67" t="e">
        <f t="shared" ca="1" si="6"/>
        <v>#VALUE!</v>
      </c>
      <c r="I9" s="68" t="str">
        <f t="shared" ca="1" si="7"/>
        <v>#N/A</v>
      </c>
      <c r="J9" s="65">
        <f>((CMIG!H2+CMIG!I2)+CMIG!J2)+CMIG!K2</f>
        <v>9.7752414840000004</v>
      </c>
      <c r="K9" s="70" t="e">
        <f t="shared" ca="1" si="0"/>
        <v>#VALUE!</v>
      </c>
      <c r="L9" s="65">
        <v>7.5</v>
      </c>
      <c r="M9" s="72" t="e">
        <f ca="1">P9/P2</f>
        <v>#VALUE!</v>
      </c>
      <c r="N9" s="72" t="e">
        <f ca="1">SUM(P9/(P2*(L9/100)))</f>
        <v>#VALUE!</v>
      </c>
      <c r="O9" s="65" t="e">
        <f t="shared" ca="1" si="8"/>
        <v>#VALUE!</v>
      </c>
      <c r="P9" s="65" t="e">
        <f t="shared" ca="1" si="9"/>
        <v>#VALUE!</v>
      </c>
      <c r="Q9" s="65"/>
    </row>
    <row r="10" spans="1:17" ht="12.75" customHeight="1">
      <c r="A10" s="57" t="str">
        <f>ELPL!A1</f>
        <v>ELPL4</v>
      </c>
      <c r="B10" s="59" t="e">
        <f ca="1">ELPL!B2</f>
        <v>#VALUE!</v>
      </c>
      <c r="C10" s="61" t="e">
        <f ca="1">ELPL!D2</f>
        <v>#VALUE!</v>
      </c>
      <c r="D10" s="62" t="str">
        <f t="shared" ca="1" si="2"/>
        <v>24.51</v>
      </c>
      <c r="E10" s="63" t="str">
        <f t="shared" ca="1" si="3"/>
        <v>2.42%</v>
      </c>
      <c r="F10" s="64" t="str">
        <f t="shared" ca="1" si="4"/>
        <v>161.24</v>
      </c>
      <c r="G10" s="65" t="e">
        <f t="shared" ca="1" si="5"/>
        <v>#VALUE!</v>
      </c>
      <c r="H10" s="67" t="e">
        <f t="shared" ca="1" si="6"/>
        <v>#VALUE!</v>
      </c>
      <c r="I10" s="68" t="str">
        <f t="shared" ca="1" si="7"/>
        <v>#N/A</v>
      </c>
      <c r="J10" s="65">
        <f>((ELPL!H2+ELPL!I2)+ELPL!J2)+ELPL!K2</f>
        <v>0</v>
      </c>
      <c r="K10" s="70" t="e">
        <f t="shared" ca="1" si="0"/>
        <v>#VALUE!</v>
      </c>
      <c r="L10" s="65">
        <v>10</v>
      </c>
      <c r="M10" s="72" t="e">
        <f ca="1">P10/P2</f>
        <v>#VALUE!</v>
      </c>
      <c r="N10" s="72" t="e">
        <f ca="1">SUM(P10/(P2*(L10/100)))</f>
        <v>#VALUE!</v>
      </c>
      <c r="O10" s="65" t="e">
        <f t="shared" ca="1" si="8"/>
        <v>#VALUE!</v>
      </c>
      <c r="P10" s="65" t="e">
        <f t="shared" ca="1" si="9"/>
        <v>#VALUE!</v>
      </c>
      <c r="Q10" s="65"/>
    </row>
    <row r="11" spans="1:17" ht="12.75" customHeight="1">
      <c r="A11" s="57" t="str">
        <f>PETR!A1</f>
        <v>PETR4</v>
      </c>
      <c r="B11" s="59" t="e">
        <f ca="1">PETR!B2</f>
        <v>#VALUE!</v>
      </c>
      <c r="C11" s="61" t="e">
        <f ca="1">PETR!D2</f>
        <v>#VALUE!</v>
      </c>
      <c r="D11" s="62" t="str">
        <f t="shared" ca="1" si="2"/>
        <v>24.51</v>
      </c>
      <c r="E11" s="63" t="str">
        <f t="shared" ca="1" si="3"/>
        <v>2.42%</v>
      </c>
      <c r="F11" s="64" t="str">
        <f t="shared" ca="1" si="4"/>
        <v>161.24</v>
      </c>
      <c r="G11" s="65" t="e">
        <f t="shared" ca="1" si="5"/>
        <v>#VALUE!</v>
      </c>
      <c r="H11" s="67" t="e">
        <f t="shared" ca="1" si="6"/>
        <v>#VALUE!</v>
      </c>
      <c r="I11" s="68" t="str">
        <f t="shared" ca="1" si="7"/>
        <v>#N/A</v>
      </c>
      <c r="J11" s="65">
        <f>((PETR!H2+PETR!I2)+PETR!J2)+PETR!K2</f>
        <v>0</v>
      </c>
      <c r="K11" s="70" t="e">
        <f t="shared" ca="1" si="0"/>
        <v>#VALUE!</v>
      </c>
      <c r="L11" s="65">
        <v>12.5</v>
      </c>
      <c r="M11" s="72" t="e">
        <f ca="1">P11/P2</f>
        <v>#VALUE!</v>
      </c>
      <c r="N11" s="72" t="e">
        <f ca="1">SUM(P11/(P2*(L11/100)))</f>
        <v>#VALUE!</v>
      </c>
      <c r="O11" s="65" t="e">
        <f t="shared" ca="1" si="8"/>
        <v>#VALUE!</v>
      </c>
      <c r="P11" s="65" t="e">
        <f t="shared" ca="1" si="9"/>
        <v>#VALUE!</v>
      </c>
      <c r="Q11" s="65"/>
    </row>
    <row r="12" spans="1:17" ht="12.75" customHeight="1">
      <c r="A12" s="57" t="str">
        <f>PRML!A1</f>
        <v>PRML3</v>
      </c>
      <c r="B12" s="59" t="e">
        <f ca="1">PRML!B2</f>
        <v>#VALUE!</v>
      </c>
      <c r="C12" s="61" t="e">
        <f ca="1">PRML!D2</f>
        <v>#VALUE!</v>
      </c>
      <c r="D12" s="62" t="str">
        <f t="shared" ca="1" si="2"/>
        <v>24.51</v>
      </c>
      <c r="E12" s="63" t="str">
        <f t="shared" ca="1" si="3"/>
        <v>2.42%</v>
      </c>
      <c r="F12" s="64" t="str">
        <f t="shared" ca="1" si="4"/>
        <v>161.24</v>
      </c>
      <c r="G12" s="65" t="e">
        <f t="shared" ca="1" si="5"/>
        <v>#VALUE!</v>
      </c>
      <c r="H12" s="67" t="e">
        <f t="shared" ca="1" si="6"/>
        <v>#VALUE!</v>
      </c>
      <c r="I12" s="68" t="str">
        <f t="shared" ca="1" si="7"/>
        <v>#N/A</v>
      </c>
      <c r="J12" s="65">
        <f>((PRML!H2+PRML!I2)+PRML!J2)+PRML!K2</f>
        <v>0</v>
      </c>
      <c r="K12" s="70" t="e">
        <f t="shared" ca="1" si="0"/>
        <v>#VALUE!</v>
      </c>
      <c r="L12" s="65">
        <v>5</v>
      </c>
      <c r="M12" s="72" t="e">
        <f ca="1">P12/P2</f>
        <v>#VALUE!</v>
      </c>
      <c r="N12" s="72" t="e">
        <f ca="1">SUM(P12/(P2*(L12/100)))</f>
        <v>#VALUE!</v>
      </c>
      <c r="O12" s="65" t="e">
        <f t="shared" ca="1" si="8"/>
        <v>#VALUE!</v>
      </c>
      <c r="P12" s="65" t="e">
        <f t="shared" ca="1" si="9"/>
        <v>#VALUE!</v>
      </c>
      <c r="Q12" s="65"/>
    </row>
    <row r="13" spans="1:17" ht="12.75" customHeight="1">
      <c r="A13" s="57" t="s">
        <v>43</v>
      </c>
      <c r="B13" s="59" t="e">
        <f ca="1">PSSA!B2</f>
        <v>#VALUE!</v>
      </c>
      <c r="C13" s="61" t="e">
        <f ca="1">PSSA!D2</f>
        <v>#VALUE!</v>
      </c>
      <c r="D13" s="62" t="str">
        <f t="shared" ca="1" si="2"/>
        <v>24.51</v>
      </c>
      <c r="E13" s="63" t="str">
        <f t="shared" ca="1" si="3"/>
        <v>2.42%</v>
      </c>
      <c r="F13" s="64" t="str">
        <f t="shared" ca="1" si="4"/>
        <v>161.24</v>
      </c>
      <c r="G13" s="65" t="e">
        <f t="shared" ca="1" si="5"/>
        <v>#VALUE!</v>
      </c>
      <c r="H13" s="67" t="e">
        <f t="shared" ca="1" si="6"/>
        <v>#VALUE!</v>
      </c>
      <c r="I13" s="68" t="str">
        <f t="shared" ca="1" si="7"/>
        <v>#N/A</v>
      </c>
      <c r="J13" s="65">
        <f>((PSSA!H2+PSSA!I2)+PSSA!J2)+PSSA!K2</f>
        <v>42.159400000000005</v>
      </c>
      <c r="K13" s="70" t="e">
        <f t="shared" ca="1" si="0"/>
        <v>#VALUE!</v>
      </c>
      <c r="L13" s="65">
        <v>15</v>
      </c>
      <c r="M13" s="72" t="e">
        <f ca="1">P13/P2</f>
        <v>#VALUE!</v>
      </c>
      <c r="N13" s="72" t="e">
        <f ca="1">SUM(P13/(P2*(L13/100)))</f>
        <v>#VALUE!</v>
      </c>
      <c r="O13" s="65" t="e">
        <f t="shared" ca="1" si="8"/>
        <v>#VALUE!</v>
      </c>
      <c r="P13" s="65" t="e">
        <f t="shared" ca="1" si="9"/>
        <v>#VALUE!</v>
      </c>
      <c r="Q13" s="65"/>
    </row>
    <row r="14" spans="1:17" ht="12.75" customHeight="1">
      <c r="A14" s="57" t="str">
        <f>TIMP!A1</f>
        <v>TIMP3</v>
      </c>
      <c r="B14" s="59" t="e">
        <f ca="1">TIMP!B2</f>
        <v>#VALUE!</v>
      </c>
      <c r="C14" s="61" t="e">
        <f ca="1">TIMP!D2</f>
        <v>#VALUE!</v>
      </c>
      <c r="D14" s="62" t="str">
        <f t="shared" ca="1" si="2"/>
        <v>24.51</v>
      </c>
      <c r="E14" s="63" t="str">
        <f t="shared" ca="1" si="3"/>
        <v>2.42%</v>
      </c>
      <c r="F14" s="64" t="str">
        <f t="shared" ca="1" si="4"/>
        <v>161.24</v>
      </c>
      <c r="G14" s="65" t="e">
        <f t="shared" ca="1" si="5"/>
        <v>#VALUE!</v>
      </c>
      <c r="H14" s="67" t="e">
        <f t="shared" ca="1" si="6"/>
        <v>#VALUE!</v>
      </c>
      <c r="I14" s="68" t="str">
        <f t="shared" ca="1" si="7"/>
        <v>#N/A</v>
      </c>
      <c r="J14" s="65">
        <f>((TIMP!H2+TIMP!I2)+TIMP!J2)+TIMP!K2</f>
        <v>41.691265740999995</v>
      </c>
      <c r="K14" s="70" t="e">
        <f t="shared" ca="1" si="0"/>
        <v>#VALUE!</v>
      </c>
      <c r="L14" s="65">
        <v>5</v>
      </c>
      <c r="M14" s="72" t="e">
        <f ca="1">P14/P2</f>
        <v>#VALUE!</v>
      </c>
      <c r="N14" s="72" t="e">
        <f ca="1">SUM(P14/(P2*(L14/100)))</f>
        <v>#VALUE!</v>
      </c>
      <c r="O14" s="65" t="e">
        <f t="shared" ca="1" si="8"/>
        <v>#VALUE!</v>
      </c>
      <c r="P14" s="65" t="e">
        <f t="shared" ca="1" si="9"/>
        <v>#VALUE!</v>
      </c>
      <c r="Q14" s="65"/>
    </row>
    <row r="15" spans="1:17" ht="12.75" customHeight="1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6">
        <f>SUM(L3:L14)</f>
        <v>100</v>
      </c>
      <c r="M15" s="94"/>
      <c r="N15" s="94"/>
      <c r="O15" s="94"/>
      <c r="P15" s="94"/>
      <c r="Q15" s="94"/>
    </row>
    <row r="16" spans="1:17" ht="12.75" customHeight="1">
      <c r="A16" s="99"/>
      <c r="B16" s="184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</row>
    <row r="17" spans="1:17" ht="12.75" customHeight="1">
      <c r="A17" s="100"/>
      <c r="B17" s="101" t="s">
        <v>45</v>
      </c>
      <c r="C17" s="101" t="s">
        <v>46</v>
      </c>
      <c r="D17" s="101" t="s">
        <v>47</v>
      </c>
      <c r="E17" s="101" t="s">
        <v>48</v>
      </c>
      <c r="F17" s="101" t="s">
        <v>49</v>
      </c>
      <c r="G17" s="101" t="s">
        <v>50</v>
      </c>
      <c r="H17" s="101" t="s">
        <v>51</v>
      </c>
      <c r="I17" s="101" t="s">
        <v>52</v>
      </c>
      <c r="J17" s="101" t="s">
        <v>53</v>
      </c>
      <c r="K17" s="101" t="s">
        <v>54</v>
      </c>
      <c r="L17" s="101" t="s">
        <v>55</v>
      </c>
      <c r="M17" s="101" t="s">
        <v>56</v>
      </c>
      <c r="N17" s="101" t="s">
        <v>57</v>
      </c>
      <c r="O17" s="101" t="s">
        <v>58</v>
      </c>
      <c r="P17" s="101" t="s">
        <v>59</v>
      </c>
      <c r="Q17" s="101"/>
    </row>
    <row r="18" spans="1:17" ht="12.75" customHeight="1">
      <c r="A18" s="104" t="str">
        <f t="shared" ref="A18:A30" si="10">A3</f>
        <v>BBAS3</v>
      </c>
      <c r="B18" s="105" t="str">
        <f ca="1">IFERROR(__xludf.DUMMYFUNCTION("ImportXML(""http://www.guiainvest.com.br/raiox/default.aspx?sigla=bbas3"",""//*[@id='lbDividendoPagoAcaoAtual']"")"),"#N/A")</f>
        <v>#N/A</v>
      </c>
      <c r="C18" s="107" t="e">
        <f t="shared" ref="C18:C25" ca="1" si="11">B18/D3</f>
        <v>#VALUE!</v>
      </c>
      <c r="D18" s="109" t="str">
        <f ca="1">IFERROR(__xludf.DUMMYFUNCTION("ImportXML(""http://www.guiainvest.com.br/raiox/default.aspx?sigla=bbas3"",""//*[@id='lbPayoutAtual']"")"),"32.00%")</f>
        <v>32.00%</v>
      </c>
      <c r="E18" s="110" t="str">
        <f ca="1">IFERROR(__xludf.DUMMYFUNCTION("IMPORTXML(""http://www.guiainvest.com.br/preco-justo/bbas3.aspx"",""//*[@id='lbPrecoJusto']"")"),"#N/A")</f>
        <v>#N/A</v>
      </c>
      <c r="F18" s="111" t="str">
        <f t="shared" ref="F18:F29" ca="1" si="12">IFERROR(__xludf.DUMMYFUNCTION("GOOGLEFINANCE(A18,""eps"")"),"3.72")</f>
        <v>3.72</v>
      </c>
      <c r="G18" s="111" t="str">
        <f ca="1">IFERROR(__xludf.DUMMYFUNCTION("ImportXML(""http://www.guiainvest.com.br/raiox/default.aspx?sigla=bbas3"",""//*[@id='lbValorPatrimonialAcao3']"")"),"#N/A")</f>
        <v>#N/A</v>
      </c>
      <c r="H18" s="112" t="str">
        <f t="shared" ref="H18:H29" ca="1" si="13">IFERROR(__xludf.DUMMYFUNCTION("GOOGLEFINANCE(A18,""pe"")"),"6.58")</f>
        <v>6.58</v>
      </c>
      <c r="I18" s="113" t="e">
        <f t="shared" ref="I18:I29" ca="1" si="14">D3/G18</f>
        <v>#VALUE!</v>
      </c>
      <c r="J18" s="114" t="e">
        <f t="shared" ref="J18:J29" ca="1" si="15">F18/D3</f>
        <v>#VALUE!</v>
      </c>
      <c r="K18" s="111"/>
      <c r="L18" s="115" t="e">
        <f t="shared" ref="L18:L25" ca="1" si="16">B18*B3</f>
        <v>#VALUE!</v>
      </c>
      <c r="M18" s="116" t="str">
        <f t="shared" ref="M18:M29" ca="1" si="17">IFERROR(__xludf.DUMMYFUNCTION("GOOGLEFINANCE(A3,""low52"")"),"12.52")</f>
        <v>12.52</v>
      </c>
      <c r="N18" s="116" t="str">
        <f t="shared" ref="N18:N29" ca="1" si="18">IFERROR(__xludf.DUMMYFUNCTION("GOOGLEFINANCE(A3,""high52"")"),"24.68")</f>
        <v>24.68</v>
      </c>
      <c r="O18" s="24" t="str">
        <f t="shared" ref="O18:O29" ca="1" si="19">IFERROR(__xludf.DUMMYFUNCTION("GOOGLEFINANCE(A3,""shares"")/1000000"),"2,964.18")</f>
        <v>2,964.18</v>
      </c>
      <c r="P18" s="24" t="str">
        <f t="shared" ref="P18:P29" ca="1" si="20">IFERROR(__xludf.DUMMYFUNCTION("GOOGLEFINANCE(A3,""marketcap"")/1000000"),"72,652.06")</f>
        <v>72,652.06</v>
      </c>
      <c r="Q18" s="117"/>
    </row>
    <row r="19" spans="1:17" ht="12.75" customHeight="1">
      <c r="A19" s="104" t="str">
        <f t="shared" si="10"/>
        <v>BBDC4</v>
      </c>
      <c r="B19" s="105" t="str">
        <f ca="1">IFERROR(__xludf.DUMMYFUNCTION("ImportXML(""http://www.guiainvest.com.br/raiox/default.aspx?sigla=bbdc4"",""//*[@id='lbDividendoPagoAcaoAtual']"")"),"#N/A")</f>
        <v>#N/A</v>
      </c>
      <c r="C19" s="107" t="e">
        <f t="shared" ca="1" si="11"/>
        <v>#VALUE!</v>
      </c>
      <c r="D19" s="109" t="str">
        <f ca="1">IFERROR(__xludf.DUMMYFUNCTION("ImportXML(""http://www.guiainvest.com.br/raiox/default.aspx?sigla=bbdc4"",""//*[@id='lbPayoutAtual']"")"),"#N/A")</f>
        <v>#N/A</v>
      </c>
      <c r="E19" s="110" t="str">
        <f ca="1">IFERROR(__xludf.DUMMYFUNCTION("IMPORTXML(""http://www.guiainvest.com.br/preco-justo/bbdc4.aspx"",""//*[@id='lbPrecoJusto']"")"),"35.79")</f>
        <v>35.79</v>
      </c>
      <c r="F19" s="111" t="str">
        <f t="shared" ca="1" si="12"/>
        <v>3.72</v>
      </c>
      <c r="G19" s="111" t="str">
        <f ca="1">IFERROR(__xludf.DUMMYFUNCTION("ImportXML(""http://www.guiainvest.com.br/raiox/default.aspx?sigla=bbdc4"",""//*[@id='lbValorPatrimonialAcao3']"")"),"#N/A")</f>
        <v>#N/A</v>
      </c>
      <c r="H19" s="112" t="str">
        <f t="shared" ca="1" si="13"/>
        <v>6.58</v>
      </c>
      <c r="I19" s="113" t="e">
        <f t="shared" ca="1" si="14"/>
        <v>#VALUE!</v>
      </c>
      <c r="J19" s="114" t="e">
        <f t="shared" ca="1" si="15"/>
        <v>#VALUE!</v>
      </c>
      <c r="K19" s="111"/>
      <c r="L19" s="115" t="e">
        <f t="shared" ca="1" si="16"/>
        <v>#VALUE!</v>
      </c>
      <c r="M19" s="116" t="str">
        <f t="shared" ca="1" si="17"/>
        <v>12.52</v>
      </c>
      <c r="N19" s="116" t="str">
        <f t="shared" ca="1" si="18"/>
        <v>24.68</v>
      </c>
      <c r="O19" s="24" t="str">
        <f t="shared" ca="1" si="19"/>
        <v>2,964.18</v>
      </c>
      <c r="P19" s="24" t="str">
        <f t="shared" ca="1" si="20"/>
        <v>72,652.06</v>
      </c>
      <c r="Q19" s="118"/>
    </row>
    <row r="20" spans="1:17" ht="12.75" customHeight="1">
      <c r="A20" s="104" t="str">
        <f t="shared" si="10"/>
        <v>BBSE3</v>
      </c>
      <c r="B20" s="105" t="str">
        <f ca="1">IFERROR(__xludf.DUMMYFUNCTION("ImportXML(""http://www.guiainvest.com.br/raiox/default.aspx?sigla=bbse3"",""//*[@id='lbDividendoPagoAcaoAtual']"")"),"#N/A")</f>
        <v>#N/A</v>
      </c>
      <c r="C20" s="107" t="e">
        <f t="shared" ca="1" si="11"/>
        <v>#VALUE!</v>
      </c>
      <c r="D20" s="109" t="str">
        <f ca="1">IFERROR(__xludf.DUMMYFUNCTION("ImportXML(""http://www.guiainvest.com.br/raiox/default.aspx?sigla=bbse3"",""//*[@id='lbPayoutAtual']"")"),"81.50%")</f>
        <v>81.50%</v>
      </c>
      <c r="E20" s="110" t="str">
        <f ca="1">IFERROR(__xludf.DUMMYFUNCTION("IMPORTXML(""http://www.guiainvest.com.br/preco-justo/bbse3.aspx"",""//*[@id='lbPrecoJusto']"")"),"#N/A")</f>
        <v>#N/A</v>
      </c>
      <c r="F20" s="111" t="str">
        <f t="shared" ca="1" si="12"/>
        <v>3.72</v>
      </c>
      <c r="G20" s="111" t="str">
        <f ca="1">IFERROR(__xludf.DUMMYFUNCTION("ImportXML(""http://www.guiainvest.com.br/raiox/default.aspx?sigla=bbse3"",""//*[@id='lbValorPatrimonialAcao3']"")"),"#N/A")</f>
        <v>#N/A</v>
      </c>
      <c r="H20" s="112" t="str">
        <f t="shared" ca="1" si="13"/>
        <v>6.58</v>
      </c>
      <c r="I20" s="113" t="e">
        <f t="shared" ca="1" si="14"/>
        <v>#VALUE!</v>
      </c>
      <c r="J20" s="114" t="e">
        <f t="shared" ca="1" si="15"/>
        <v>#VALUE!</v>
      </c>
      <c r="K20" s="111"/>
      <c r="L20" s="115" t="e">
        <f t="shared" ca="1" si="16"/>
        <v>#VALUE!</v>
      </c>
      <c r="M20" s="116" t="str">
        <f t="shared" ca="1" si="17"/>
        <v>12.52</v>
      </c>
      <c r="N20" s="116" t="str">
        <f t="shared" ca="1" si="18"/>
        <v>24.68</v>
      </c>
      <c r="O20" s="24" t="str">
        <f t="shared" ca="1" si="19"/>
        <v>2,964.18</v>
      </c>
      <c r="P20" s="24" t="str">
        <f t="shared" ca="1" si="20"/>
        <v>72,652.06</v>
      </c>
      <c r="Q20" s="118"/>
    </row>
    <row r="21" spans="1:17" ht="12.75" customHeight="1">
      <c r="A21" s="104" t="str">
        <f t="shared" si="10"/>
        <v>BVMF3</v>
      </c>
      <c r="B21" s="105" t="str">
        <f ca="1">IFERROR(__xludf.DUMMYFUNCTION("ImportXML(""http://www.guiainvest.com.br/raiox/default.aspx?sigla=bvmf3"",""//*[@id='lbDividendoPagoAcaoAtual']"")"),"#N/A")</f>
        <v>#N/A</v>
      </c>
      <c r="C21" s="107" t="e">
        <f t="shared" ca="1" si="11"/>
        <v>#VALUE!</v>
      </c>
      <c r="D21" s="109" t="str">
        <f ca="1">IFERROR(__xludf.DUMMYFUNCTION("ImportXML(""http://www.guiainvest.com.br/raiox/default.aspx?sigla=bvmf3"",""//*[@id='lbPayoutAtual']"")"),"63.10%")</f>
        <v>63.10%</v>
      </c>
      <c r="E21" s="110" t="str">
        <f ca="1">IFERROR(__xludf.DUMMYFUNCTION("IMPORTXML(""http://www.guiainvest.com.br/preco-justo/bvmf3.aspx"",""//*[@id='lbPrecoJusto']"")"),"#N/A")</f>
        <v>#N/A</v>
      </c>
      <c r="F21" s="111" t="str">
        <f t="shared" ca="1" si="12"/>
        <v>3.72</v>
      </c>
      <c r="G21" s="111" t="str">
        <f ca="1">IFERROR(__xludf.DUMMYFUNCTION("ImportXML(""http://www.guiainvest.com.br/raiox/default.aspx?sigla=bvmf3"",""//*[@id='lbValorPatrimonialAcao3']"")"),"#N/A")</f>
        <v>#N/A</v>
      </c>
      <c r="H21" s="112" t="str">
        <f t="shared" ca="1" si="13"/>
        <v>6.58</v>
      </c>
      <c r="I21" s="113" t="e">
        <f t="shared" ca="1" si="14"/>
        <v>#VALUE!</v>
      </c>
      <c r="J21" s="114" t="e">
        <f t="shared" ca="1" si="15"/>
        <v>#VALUE!</v>
      </c>
      <c r="K21" s="111"/>
      <c r="L21" s="115" t="e">
        <f t="shared" ca="1" si="16"/>
        <v>#VALUE!</v>
      </c>
      <c r="M21" s="116" t="str">
        <f t="shared" ca="1" si="17"/>
        <v>12.52</v>
      </c>
      <c r="N21" s="116" t="str">
        <f t="shared" ca="1" si="18"/>
        <v>24.68</v>
      </c>
      <c r="O21" s="24" t="str">
        <f t="shared" ca="1" si="19"/>
        <v>2,964.18</v>
      </c>
      <c r="P21" s="24" t="str">
        <f t="shared" ca="1" si="20"/>
        <v>72,652.06</v>
      </c>
      <c r="Q21" s="118"/>
    </row>
    <row r="22" spans="1:17" ht="12.75" customHeight="1">
      <c r="A22" s="104" t="str">
        <f t="shared" si="10"/>
        <v>CGAS5</v>
      </c>
      <c r="B22" s="105" t="str">
        <f ca="1">IFERROR(__xludf.DUMMYFUNCTION("ImportXML(""http://www.guiainvest.com.br/raiox/default.aspx?sigla=cgas5"",""//*[@id='lbDividendoPagoAcaoAtual']"")"),"#N/A")</f>
        <v>#N/A</v>
      </c>
      <c r="C22" s="107" t="e">
        <f t="shared" ca="1" si="11"/>
        <v>#VALUE!</v>
      </c>
      <c r="D22" s="109" t="str">
        <f ca="1">IFERROR(__xludf.DUMMYFUNCTION("ImportXML(""http://www.guiainvest.com.br/raiox/default.aspx?sigla=cgas5"",""//*[@id='lbPayoutAtual']"")"),"170.70%")</f>
        <v>170.70%</v>
      </c>
      <c r="E22" s="110" t="str">
        <f ca="1">IFERROR(__xludf.DUMMYFUNCTION("IMPORTXML(""http://www.guiainvest.com.br/preco-justo/cgas5.aspx"",""//*[@id='lbPrecoJusto']"")"),"#N/A")</f>
        <v>#N/A</v>
      </c>
      <c r="F22" s="111" t="str">
        <f t="shared" ca="1" si="12"/>
        <v>3.72</v>
      </c>
      <c r="G22" s="111" t="str">
        <f ca="1">IFERROR(__xludf.DUMMYFUNCTION("ImportXML(""http://www.guiainvest.com.br/raiox/default.aspx?sigla=cgas5"",""//*[@id='lbValorPatrimonialAcao3']"")"),"#N/A")</f>
        <v>#N/A</v>
      </c>
      <c r="H22" s="112" t="str">
        <f t="shared" ca="1" si="13"/>
        <v>6.58</v>
      </c>
      <c r="I22" s="113" t="e">
        <f t="shared" ca="1" si="14"/>
        <v>#VALUE!</v>
      </c>
      <c r="J22" s="114" t="e">
        <f t="shared" ca="1" si="15"/>
        <v>#VALUE!</v>
      </c>
      <c r="K22" s="111"/>
      <c r="L22" s="115" t="e">
        <f t="shared" ca="1" si="16"/>
        <v>#VALUE!</v>
      </c>
      <c r="M22" s="116" t="str">
        <f t="shared" ca="1" si="17"/>
        <v>12.52</v>
      </c>
      <c r="N22" s="116" t="str">
        <f t="shared" ca="1" si="18"/>
        <v>24.68</v>
      </c>
      <c r="O22" s="24" t="str">
        <f t="shared" ca="1" si="19"/>
        <v>2,964.18</v>
      </c>
      <c r="P22" s="24" t="str">
        <f t="shared" ca="1" si="20"/>
        <v>72,652.06</v>
      </c>
      <c r="Q22" s="118"/>
    </row>
    <row r="23" spans="1:17" ht="12.75" customHeight="1">
      <c r="A23" s="104" t="str">
        <f t="shared" si="10"/>
        <v>CIEL3</v>
      </c>
      <c r="B23" s="105" t="str">
        <f ca="1">IFERROR(__xludf.DUMMYFUNCTION("ImportXML(""http://www.guiainvest.com.br/raiox/default.aspx?sigla=ciel3"",""//*[@id='lbDividendoPagoAcaoAtual']"")"),"#N/A")</f>
        <v>#N/A</v>
      </c>
      <c r="C23" s="107" t="e">
        <f t="shared" ca="1" si="11"/>
        <v>#VALUE!</v>
      </c>
      <c r="D23" s="111" t="str">
        <f ca="1">IFERROR(__xludf.DUMMYFUNCTION("ImportXML(""http://www.guiainvest.com.br/raiox/default.aspx?sigla=ciel3"",""//*[@id='lbPayoutAtual']"")"),"#N/A")</f>
        <v>#N/A</v>
      </c>
      <c r="E23" s="110" t="str">
        <f ca="1">IFERROR(__xludf.DUMMYFUNCTION("IMPORTXML(""http://www.guiainvest.com.br/preco-justo/ciel3.aspx"",""//*[@id='lbPrecoJusto']"")"),"#N/A")</f>
        <v>#N/A</v>
      </c>
      <c r="F23" s="111" t="str">
        <f t="shared" ca="1" si="12"/>
        <v>3.72</v>
      </c>
      <c r="G23" s="111" t="str">
        <f ca="1">IFERROR(__xludf.DUMMYFUNCTION("ImportXML(""http://www.guiainvest.com.br/raiox/default.aspx?sigla=ciel3"",""//*[@id='lbValorPatrimonialAcao3']"")"),"5.1122")</f>
        <v>5.1122</v>
      </c>
      <c r="H23" s="112" t="str">
        <f t="shared" ca="1" si="13"/>
        <v>6.58</v>
      </c>
      <c r="I23" s="113" t="e">
        <f t="shared" ca="1" si="14"/>
        <v>#VALUE!</v>
      </c>
      <c r="J23" s="114" t="e">
        <f t="shared" ca="1" si="15"/>
        <v>#VALUE!</v>
      </c>
      <c r="K23" s="111"/>
      <c r="L23" s="115" t="e">
        <f t="shared" ca="1" si="16"/>
        <v>#VALUE!</v>
      </c>
      <c r="M23" s="116" t="str">
        <f t="shared" ca="1" si="17"/>
        <v>12.52</v>
      </c>
      <c r="N23" s="116" t="str">
        <f t="shared" ca="1" si="18"/>
        <v>24.68</v>
      </c>
      <c r="O23" s="24" t="str">
        <f t="shared" ca="1" si="19"/>
        <v>2,964.18</v>
      </c>
      <c r="P23" s="24" t="str">
        <f t="shared" ca="1" si="20"/>
        <v>72,652.06</v>
      </c>
      <c r="Q23" s="118"/>
    </row>
    <row r="24" spans="1:17" ht="12.75" customHeight="1">
      <c r="A24" s="104" t="str">
        <f t="shared" si="10"/>
        <v>CMIG3</v>
      </c>
      <c r="B24" s="105" t="str">
        <f ca="1">IFERROR(__xludf.DUMMYFUNCTION("ImportXML(""http://www.guiainvest.com.br/raiox/default.aspx?sigla=cmig4"",""//*[@id='lbDividendoPagoAcaoAtual']"")"),"#N/A")</f>
        <v>#N/A</v>
      </c>
      <c r="C24" s="107" t="e">
        <f t="shared" ca="1" si="11"/>
        <v>#VALUE!</v>
      </c>
      <c r="D24" s="111" t="str">
        <f ca="1">IFERROR(__xludf.DUMMYFUNCTION("ImportXML(""http://www.guiainvest.com.br/raiox/default.aspx?sigla=cmig3"",""//*[@id='lbPayoutAtual']"")"),"#N/A")</f>
        <v>#N/A</v>
      </c>
      <c r="E24" s="110" t="str">
        <f ca="1">IFERROR(__xludf.DUMMYFUNCTION("IMPORTXML(""http://www.guiainvest.com.br/preco-justo/cmig3.aspx"",""//*[@id='lbPrecoJusto']"")"),"#N/A")</f>
        <v>#N/A</v>
      </c>
      <c r="F24" s="111" t="str">
        <f t="shared" ca="1" si="12"/>
        <v>3.72</v>
      </c>
      <c r="G24" s="111" t="str">
        <f ca="1">IFERROR(__xludf.DUMMYFUNCTION("ImportXML(""http://www.guiainvest.com.br/raiox/default.aspx?sigla=cmig3"",""//*[@id='lbValorPatrimonialAcao3']"")"),"#N/A")</f>
        <v>#N/A</v>
      </c>
      <c r="H24" s="112" t="str">
        <f t="shared" ca="1" si="13"/>
        <v>6.58</v>
      </c>
      <c r="I24" s="113" t="e">
        <f t="shared" ca="1" si="14"/>
        <v>#VALUE!</v>
      </c>
      <c r="J24" s="114" t="e">
        <f t="shared" ca="1" si="15"/>
        <v>#VALUE!</v>
      </c>
      <c r="K24" s="111"/>
      <c r="L24" s="115" t="e">
        <f t="shared" ca="1" si="16"/>
        <v>#VALUE!</v>
      </c>
      <c r="M24" s="116" t="str">
        <f t="shared" ca="1" si="17"/>
        <v>12.52</v>
      </c>
      <c r="N24" s="116" t="str">
        <f t="shared" ca="1" si="18"/>
        <v>24.68</v>
      </c>
      <c r="O24" s="24" t="str">
        <f t="shared" ca="1" si="19"/>
        <v>2,964.18</v>
      </c>
      <c r="P24" s="24" t="str">
        <f t="shared" ca="1" si="20"/>
        <v>72,652.06</v>
      </c>
      <c r="Q24" s="118"/>
    </row>
    <row r="25" spans="1:17" ht="12.75" customHeight="1">
      <c r="A25" s="104" t="str">
        <f t="shared" si="10"/>
        <v>ELPL4</v>
      </c>
      <c r="B25" s="105" t="str">
        <f ca="1">IFERROR(__xludf.DUMMYFUNCTION("ImportXML(""http://www.guiainvest.com.br/raiox/default.aspx?sigla=elpl4"",""//*[@id='lbDividendoPagoAcaoAtual']"")"),"0.2607")</f>
        <v>0.2607</v>
      </c>
      <c r="C25" s="107" t="e">
        <f t="shared" ca="1" si="11"/>
        <v>#VALUE!</v>
      </c>
      <c r="D25" s="109" t="str">
        <f ca="1">IFERROR(__xludf.DUMMYFUNCTION("ImportXML(""http://www.guiainvest.com.br/raiox/default.aspx?sigla=elpl4"",""//*[@id='lbPayoutAtual']"")"),"109.30%")</f>
        <v>109.30%</v>
      </c>
      <c r="E25" s="110" t="str">
        <f ca="1">IFERROR(__xludf.DUMMYFUNCTION("IMPORTXML(""http://www.guiainvest.com.br/preco-justo/elpl4.aspx"",""//*[@id='lbPrecoJusto']"")"),"0.39")</f>
        <v>0.39</v>
      </c>
      <c r="F25" s="111" t="str">
        <f t="shared" ca="1" si="12"/>
        <v>3.72</v>
      </c>
      <c r="G25" s="111" t="str">
        <f ca="1">IFERROR(__xludf.DUMMYFUNCTION("ImportXML(""http://www.guiainvest.com.br/raiox/default.aspx?sigla=elpl4"",""//*[@id='lbValorPatrimonialAcao3']"")"),"#N/A")</f>
        <v>#N/A</v>
      </c>
      <c r="H25" s="112" t="str">
        <f t="shared" ca="1" si="13"/>
        <v>6.58</v>
      </c>
      <c r="I25" s="113" t="e">
        <f t="shared" ca="1" si="14"/>
        <v>#VALUE!</v>
      </c>
      <c r="J25" s="114" t="e">
        <f t="shared" ca="1" si="15"/>
        <v>#VALUE!</v>
      </c>
      <c r="K25" s="111"/>
      <c r="L25" s="115" t="e">
        <f t="shared" ca="1" si="16"/>
        <v>#VALUE!</v>
      </c>
      <c r="M25" s="116" t="str">
        <f t="shared" ca="1" si="17"/>
        <v>12.52</v>
      </c>
      <c r="N25" s="116" t="str">
        <f t="shared" ca="1" si="18"/>
        <v>24.68</v>
      </c>
      <c r="O25" s="24" t="str">
        <f t="shared" ca="1" si="19"/>
        <v>2,964.18</v>
      </c>
      <c r="P25" s="24" t="str">
        <f t="shared" ca="1" si="20"/>
        <v>72,652.06</v>
      </c>
      <c r="Q25" s="118"/>
    </row>
    <row r="26" spans="1:17" ht="12.75" customHeight="1">
      <c r="A26" s="104" t="str">
        <f t="shared" si="10"/>
        <v>PETR4</v>
      </c>
      <c r="B26" s="105" t="str">
        <f ca="1">IFERROR(__xludf.DUMMYFUNCTION("ImportXML(""http://www.guiainvest.com.br/raiox/default.aspx?sigla=petr4"",""//*[@id='lbDividendoPagoAcaoAtual']"")"),"#N/A")</f>
        <v>#N/A</v>
      </c>
      <c r="C26" s="129" t="s">
        <v>67</v>
      </c>
      <c r="D26" s="111" t="str">
        <f ca="1">IFERROR(__xludf.DUMMYFUNCTION("ImportXML(""http://www.guiainvest.com.br/raiox/default.aspx?sigla=petr4"",""//*[@id='lbPayoutAtual']"")"),"-")</f>
        <v>-</v>
      </c>
      <c r="E26" s="110" t="str">
        <f ca="1">IFERROR(__xludf.DUMMYFUNCTION("IMPORTXML(""http://www.guiainvest.com.br/preco-justo/petr4.aspx"",""//*[@id='lbPrecoJusto']"")"),"--")</f>
        <v>--</v>
      </c>
      <c r="F26" s="111" t="str">
        <f t="shared" ca="1" si="12"/>
        <v>3.72</v>
      </c>
      <c r="G26" s="111" t="str">
        <f ca="1">IFERROR(__xludf.DUMMYFUNCTION("ImportXML(""http://www.guiainvest.com.br/raiox/default.aspx?sigla=petr4"",""//*[@id='lbValorPatrimonialAcao3']"")"),"21.1041")</f>
        <v>21.1041</v>
      </c>
      <c r="H26" s="112" t="str">
        <f t="shared" ca="1" si="13"/>
        <v>6.58</v>
      </c>
      <c r="I26" s="113" t="e">
        <f t="shared" ca="1" si="14"/>
        <v>#VALUE!</v>
      </c>
      <c r="J26" s="114" t="e">
        <f t="shared" ca="1" si="15"/>
        <v>#VALUE!</v>
      </c>
      <c r="K26" s="111"/>
      <c r="L26" s="115">
        <v>0</v>
      </c>
      <c r="M26" s="116" t="str">
        <f t="shared" ca="1" si="17"/>
        <v>12.52</v>
      </c>
      <c r="N26" s="116" t="str">
        <f t="shared" ca="1" si="18"/>
        <v>24.68</v>
      </c>
      <c r="O26" s="24" t="str">
        <f t="shared" ca="1" si="19"/>
        <v>2,964.18</v>
      </c>
      <c r="P26" s="24" t="str">
        <f t="shared" ca="1" si="20"/>
        <v>72,652.06</v>
      </c>
      <c r="Q26" s="118"/>
    </row>
    <row r="27" spans="1:17" ht="12.75" customHeight="1">
      <c r="A27" s="104" t="str">
        <f t="shared" si="10"/>
        <v>PRML3</v>
      </c>
      <c r="B27" s="105" t="str">
        <f ca="1">IFERROR(__xludf.DUMMYFUNCTION("ImportXML(""http://www.guiainvest.com.br/raiox/default.aspx?sigla=prml3"",""//*[@id='lbDividendoPagoAcaoAtual']"")"),"#N/A")</f>
        <v>#N/A</v>
      </c>
      <c r="C27" s="129" t="s">
        <v>67</v>
      </c>
      <c r="D27" s="111" t="str">
        <f ca="1">IFERROR(__xludf.DUMMYFUNCTION("ImportXML(""http://www.guiainvest.com.br/raiox/default.aspx?sigla=prml3"",""//*[@id='lbPayoutAtual']"")"),"#N/A")</f>
        <v>#N/A</v>
      </c>
      <c r="E27" s="110" t="str">
        <f ca="1">IFERROR(__xludf.DUMMYFUNCTION("IMPORTXML(""http://www.guiainvest.com.br/preco-justo/prml3.aspx"",""//*[@id='lbPrecoJusto']"")"),"#N/A")</f>
        <v>#N/A</v>
      </c>
      <c r="F27" s="111" t="str">
        <f t="shared" ca="1" si="12"/>
        <v>3.72</v>
      </c>
      <c r="G27" s="111" t="str">
        <f ca="1">IFERROR(__xludf.DUMMYFUNCTION("ImportXML(""http://www.guiainvest.com.br/raiox/default.aspx?sigla=prml3"",""//*[@id='lbValorPatrimonialAcao3']"")"),"#N/A")</f>
        <v>#N/A</v>
      </c>
      <c r="H27" s="112" t="str">
        <f t="shared" ca="1" si="13"/>
        <v>6.58</v>
      </c>
      <c r="I27" s="113" t="e">
        <f t="shared" ca="1" si="14"/>
        <v>#VALUE!</v>
      </c>
      <c r="J27" s="114" t="e">
        <f t="shared" ca="1" si="15"/>
        <v>#VALUE!</v>
      </c>
      <c r="K27" s="111"/>
      <c r="L27" s="115">
        <v>0</v>
      </c>
      <c r="M27" s="116" t="str">
        <f t="shared" ca="1" si="17"/>
        <v>12.52</v>
      </c>
      <c r="N27" s="116" t="str">
        <f t="shared" ca="1" si="18"/>
        <v>24.68</v>
      </c>
      <c r="O27" s="24" t="str">
        <f t="shared" ca="1" si="19"/>
        <v>2,964.18</v>
      </c>
      <c r="P27" s="24" t="str">
        <f t="shared" ca="1" si="20"/>
        <v>72,652.06</v>
      </c>
      <c r="Q27" s="118"/>
    </row>
    <row r="28" spans="1:17" ht="12.75" customHeight="1">
      <c r="A28" s="104" t="str">
        <f t="shared" si="10"/>
        <v>PSSA3</v>
      </c>
      <c r="B28" s="105" t="str">
        <f ca="1">IFERROR(__xludf.DUMMYFUNCTION("ImportXML(""http://www.guiainvest.com.br/raiox/default.aspx?sigla=pssa3"",""//*[@id='lbDividendoPagoAcaoAtual']"")"),"1.2529")</f>
        <v>1.2529</v>
      </c>
      <c r="C28" s="107" t="e">
        <f t="shared" ref="C28:C29" ca="1" si="21">B28/D13</f>
        <v>#VALUE!</v>
      </c>
      <c r="D28" s="109" t="str">
        <f ca="1">IFERROR(__xludf.DUMMYFUNCTION("ImportXML(""http://www.guiainvest.com.br/raiox/default.aspx?sigla=pssa3"",""//*[@id='lbPayoutAtual']"")"),"44.80%")</f>
        <v>44.80%</v>
      </c>
      <c r="E28" s="110" t="str">
        <f ca="1">IFERROR(__xludf.DUMMYFUNCTION("IMPORTXML(""http://www.guiainvest.com.br/preco-justo/pssa3.aspx"",""//*[@id='lbPrecoJusto']"")"),"#N/A")</f>
        <v>#N/A</v>
      </c>
      <c r="F28" s="111" t="str">
        <f t="shared" ca="1" si="12"/>
        <v>3.72</v>
      </c>
      <c r="G28" s="111" t="str">
        <f ca="1">IFERROR(__xludf.DUMMYFUNCTION("ImportXML(""http://www.guiainvest.com.br/raiox/default.aspx?sigla=pssa3"",""//*[@id='lbValorPatrimonialAcao3']"")"),"#N/A")</f>
        <v>#N/A</v>
      </c>
      <c r="H28" s="112" t="str">
        <f t="shared" ca="1" si="13"/>
        <v>6.58</v>
      </c>
      <c r="I28" s="113" t="e">
        <f t="shared" ca="1" si="14"/>
        <v>#VALUE!</v>
      </c>
      <c r="J28" s="114" t="e">
        <f t="shared" ca="1" si="15"/>
        <v>#VALUE!</v>
      </c>
      <c r="K28" s="111"/>
      <c r="L28" s="115" t="e">
        <f t="shared" ref="L28:L29" ca="1" si="22">B28*B13</f>
        <v>#VALUE!</v>
      </c>
      <c r="M28" s="116" t="str">
        <f t="shared" ca="1" si="17"/>
        <v>12.52</v>
      </c>
      <c r="N28" s="116" t="str">
        <f t="shared" ca="1" si="18"/>
        <v>24.68</v>
      </c>
      <c r="O28" s="24" t="str">
        <f t="shared" ca="1" si="19"/>
        <v>2,964.18</v>
      </c>
      <c r="P28" s="24" t="str">
        <f t="shared" ca="1" si="20"/>
        <v>72,652.06</v>
      </c>
      <c r="Q28" s="118"/>
    </row>
    <row r="29" spans="1:17" ht="12.75" customHeight="1">
      <c r="A29" s="104" t="str">
        <f t="shared" si="10"/>
        <v>TIMP3</v>
      </c>
      <c r="B29" s="133" t="str">
        <f ca="1">IFERROR(__xludf.DUMMYFUNCTION("ImportXML(""http://www.guiainvest.com.br/raiox/default.aspx?sigla=timp3"",""//*[@id='lbDividendoPagoAcaoAtual']"")"),"#N/A")</f>
        <v>#N/A</v>
      </c>
      <c r="C29" s="107" t="e">
        <f t="shared" ca="1" si="21"/>
        <v>#VALUE!</v>
      </c>
      <c r="D29" s="109" t="str">
        <f ca="1">IFERROR(__xludf.DUMMYFUNCTION("ImportXML(""http://www.guiainvest.com.br/raiox/default.aspx?sigla=timp3"",""//*[@id='lbPayoutAtual']"")"),"45.30%")</f>
        <v>45.30%</v>
      </c>
      <c r="E29" s="110" t="str">
        <f ca="1">IFERROR(__xludf.DUMMYFUNCTION("IMPORTXML(""http://www.guiainvest.com.br/preco-justo/timp3.aspx"",""//*[@id='lbPrecoJusto']"")"),"#N/A")</f>
        <v>#N/A</v>
      </c>
      <c r="F29" s="111" t="str">
        <f t="shared" ca="1" si="12"/>
        <v>3.72</v>
      </c>
      <c r="G29" s="111" t="str">
        <f ca="1">IFERROR(__xludf.DUMMYFUNCTION("ImportXML(""http://www.guiainvest.com.br/raiox/default.aspx?sigla=timp3"",""//*[@id='lbValorPatrimonialAcao3']"")"),"#N/A")</f>
        <v>#N/A</v>
      </c>
      <c r="H29" s="112" t="str">
        <f t="shared" ca="1" si="13"/>
        <v>6.58</v>
      </c>
      <c r="I29" s="113" t="e">
        <f t="shared" ca="1" si="14"/>
        <v>#VALUE!</v>
      </c>
      <c r="J29" s="114" t="e">
        <f t="shared" ca="1" si="15"/>
        <v>#VALUE!</v>
      </c>
      <c r="K29" s="111"/>
      <c r="L29" s="115" t="e">
        <f t="shared" ca="1" si="22"/>
        <v>#VALUE!</v>
      </c>
      <c r="M29" s="116" t="str">
        <f t="shared" ca="1" si="17"/>
        <v>12.52</v>
      </c>
      <c r="N29" s="116" t="str">
        <f t="shared" ca="1" si="18"/>
        <v>24.68</v>
      </c>
      <c r="O29" s="24" t="str">
        <f t="shared" ca="1" si="19"/>
        <v>2,964.18</v>
      </c>
      <c r="P29" s="24" t="str">
        <f t="shared" ca="1" si="20"/>
        <v>72,652.06</v>
      </c>
      <c r="Q29" s="118"/>
    </row>
    <row r="30" spans="1:17" ht="12.75" customHeight="1">
      <c r="A30" s="134">
        <f t="shared" si="10"/>
        <v>0</v>
      </c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7" t="e">
        <f ca="1">SUM(L18:L29)</f>
        <v>#VALUE!</v>
      </c>
      <c r="M30" s="135"/>
      <c r="N30" s="135"/>
      <c r="O30" s="135"/>
      <c r="P30" s="135"/>
      <c r="Q30" s="135"/>
    </row>
    <row r="31" spans="1:17" ht="12.75" customHeight="1"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9"/>
    </row>
    <row r="32" spans="1:17" ht="12.75" customHeight="1"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</row>
    <row r="33" spans="1:17" ht="12.75" customHeight="1">
      <c r="B33" s="140" t="s">
        <v>69</v>
      </c>
      <c r="C33" s="140" t="s">
        <v>70</v>
      </c>
      <c r="D33" s="140" t="s">
        <v>71</v>
      </c>
      <c r="E33" s="140" t="s">
        <v>9</v>
      </c>
      <c r="F33" s="140" t="s">
        <v>72</v>
      </c>
      <c r="G33" s="140" t="s">
        <v>73</v>
      </c>
      <c r="H33" s="140" t="s">
        <v>74</v>
      </c>
      <c r="I33" s="140" t="s">
        <v>75</v>
      </c>
      <c r="J33" s="140"/>
      <c r="K33" s="140"/>
      <c r="L33" s="140"/>
      <c r="M33" s="140" t="s">
        <v>28</v>
      </c>
      <c r="N33" s="140" t="s">
        <v>9</v>
      </c>
      <c r="O33" s="140" t="s">
        <v>76</v>
      </c>
      <c r="P33" s="140" t="s">
        <v>77</v>
      </c>
      <c r="Q33" s="140" t="s">
        <v>78</v>
      </c>
    </row>
    <row r="34" spans="1:17" ht="12.75" customHeight="1">
      <c r="A34" s="139"/>
      <c r="B34" s="142" t="e">
        <f ca="1">C34+E34</f>
        <v>#VALUE!</v>
      </c>
      <c r="C34" s="142">
        <f>SUM(C39:C60)</f>
        <v>39664</v>
      </c>
      <c r="D34" s="142">
        <f>C34</f>
        <v>39664</v>
      </c>
      <c r="E34" s="142" t="e">
        <f ca="1">SUM(E39:E60)</f>
        <v>#VALUE!</v>
      </c>
      <c r="F34" s="142">
        <f t="shared" ref="F34:G34" si="23">SUM(F39:F49)</f>
        <v>10.727176933883893</v>
      </c>
      <c r="G34" s="142">
        <f t="shared" si="23"/>
        <v>24659.427293099714</v>
      </c>
      <c r="H34" s="143" t="e">
        <f ca="1">B34/C34</f>
        <v>#VALUE!</v>
      </c>
      <c r="I34" s="142">
        <v>51150.16</v>
      </c>
      <c r="J34" s="142"/>
      <c r="K34" s="142"/>
      <c r="L34" s="142"/>
      <c r="M34" s="142"/>
      <c r="N34" s="142"/>
      <c r="O34" s="142"/>
      <c r="P34" s="142"/>
      <c r="Q34" s="145" t="str">
        <f ca="1">IFERROR(__xludf.DUMMYFUNCTION("GOOGLEFINANCE(""usdbrl"")"),"R$ 3.226")</f>
        <v>R$ 3.226</v>
      </c>
    </row>
    <row r="35" spans="1:17" ht="12.75" customHeight="1">
      <c r="A35" s="146"/>
      <c r="B35" s="146"/>
      <c r="C35" s="146"/>
      <c r="D35" s="146"/>
      <c r="E35" s="146"/>
      <c r="F35" s="146"/>
      <c r="G35" s="146"/>
      <c r="H35" s="146"/>
      <c r="I35" s="146"/>
      <c r="J35" s="146"/>
      <c r="L35" s="146"/>
      <c r="M35" s="146"/>
      <c r="N35" s="146"/>
      <c r="O35" s="146"/>
      <c r="P35" s="146"/>
      <c r="Q35" s="138"/>
    </row>
    <row r="36" spans="1:17" ht="12.75" customHeight="1">
      <c r="B36" s="146"/>
      <c r="C36" s="146"/>
      <c r="D36" s="146"/>
      <c r="E36" s="146"/>
      <c r="F36" s="146"/>
      <c r="G36" s="146"/>
      <c r="H36" s="147"/>
      <c r="I36" s="146"/>
      <c r="J36" s="178"/>
      <c r="K36" s="179" t="s">
        <v>80</v>
      </c>
      <c r="L36" s="180"/>
      <c r="M36" s="181" t="str">
        <f>HYPERLINK("http://aroldobatista.blogspot.com.br/2015/05/planilha-basica-para-investimento-em.html","aroldobatista.blogspot.com.br")</f>
        <v>aroldobatista.blogspot.com.br</v>
      </c>
      <c r="N36" s="180"/>
      <c r="O36" s="180"/>
      <c r="P36" s="180"/>
      <c r="Q36" s="180"/>
    </row>
    <row r="37" spans="1:17" ht="12.75" customHeight="1">
      <c r="B37" s="146"/>
      <c r="C37" s="146"/>
      <c r="D37" s="146"/>
      <c r="E37" s="146"/>
      <c r="F37" s="146"/>
      <c r="G37" s="146"/>
      <c r="H37" s="146"/>
      <c r="I37" s="146"/>
      <c r="J37" s="146"/>
      <c r="L37" s="146"/>
      <c r="M37" s="146"/>
      <c r="N37" s="146"/>
      <c r="O37" s="146"/>
      <c r="P37" s="146"/>
      <c r="Q37" s="138"/>
    </row>
    <row r="38" spans="1:17" ht="12.75" customHeight="1">
      <c r="B38" s="148" t="s">
        <v>82</v>
      </c>
      <c r="C38" s="148" t="s">
        <v>83</v>
      </c>
      <c r="D38" s="148" t="s">
        <v>71</v>
      </c>
      <c r="E38" s="148" t="s">
        <v>22</v>
      </c>
      <c r="F38" s="148" t="s">
        <v>84</v>
      </c>
      <c r="G38" s="148" t="s">
        <v>73</v>
      </c>
      <c r="H38" s="148" t="s">
        <v>82</v>
      </c>
      <c r="I38" s="148" t="s">
        <v>85</v>
      </c>
      <c r="J38" s="148" t="s">
        <v>86</v>
      </c>
      <c r="K38" s="148" t="s">
        <v>87</v>
      </c>
      <c r="L38" s="148"/>
      <c r="M38" s="150" t="s">
        <v>28</v>
      </c>
      <c r="N38" s="150" t="s">
        <v>28</v>
      </c>
      <c r="O38" s="150"/>
      <c r="P38" s="151" t="s">
        <v>88</v>
      </c>
      <c r="Q38" s="151" t="s">
        <v>89</v>
      </c>
    </row>
    <row r="39" spans="1:17" ht="12.75" customHeight="1">
      <c r="A39" s="152" t="s">
        <v>90</v>
      </c>
      <c r="B39" s="110">
        <v>7880</v>
      </c>
      <c r="C39" s="110">
        <v>7880</v>
      </c>
      <c r="D39" s="110">
        <f>C39</f>
        <v>7880</v>
      </c>
      <c r="E39" s="110">
        <v>0</v>
      </c>
      <c r="F39" s="153">
        <f t="shared" ref="F39:F58" si="24">B39/D39</f>
        <v>1</v>
      </c>
      <c r="G39" s="110">
        <f t="shared" ref="G39:G58" si="25">C39/F39</f>
        <v>7880</v>
      </c>
      <c r="H39" s="155">
        <f t="shared" ref="H39:H58" si="26">B39/D39-1</f>
        <v>0</v>
      </c>
      <c r="I39" s="155">
        <f>51150.16/I34-1</f>
        <v>0</v>
      </c>
      <c r="J39" s="156">
        <v>0</v>
      </c>
      <c r="K39" s="158">
        <v>0</v>
      </c>
      <c r="L39" s="110"/>
      <c r="M39" s="110">
        <v>0</v>
      </c>
      <c r="N39" s="156">
        <f t="shared" ref="N39:N58" si="27">M39/B39</f>
        <v>0</v>
      </c>
      <c r="O39" s="110"/>
      <c r="P39" s="110">
        <v>0</v>
      </c>
      <c r="Q39" s="156">
        <f t="shared" ref="Q39:Q58" si="28">H39-I39</f>
        <v>0</v>
      </c>
    </row>
    <row r="40" spans="1:17" ht="12.75" customHeight="1">
      <c r="A40" s="152" t="s">
        <v>101</v>
      </c>
      <c r="B40" s="110">
        <v>9832.0499999999993</v>
      </c>
      <c r="C40" s="110">
        <v>1576</v>
      </c>
      <c r="D40" s="110">
        <f t="shared" ref="D40:D58" si="29">D39+C40</f>
        <v>9456</v>
      </c>
      <c r="E40" s="110">
        <f t="shared" ref="E40:E58" si="30">B40-C40-B39</f>
        <v>376.04999999999927</v>
      </c>
      <c r="F40" s="153">
        <f t="shared" si="24"/>
        <v>1.0397684010152284</v>
      </c>
      <c r="G40" s="110">
        <f t="shared" si="25"/>
        <v>1515.7221535691947</v>
      </c>
      <c r="H40" s="155">
        <f t="shared" si="26"/>
        <v>3.9768401015228383E-2</v>
      </c>
      <c r="I40" s="163">
        <f>56229.38/I34-1</f>
        <v>9.9300178142160078E-2</v>
      </c>
      <c r="J40" s="155">
        <v>1.32E-2</v>
      </c>
      <c r="K40" s="165">
        <v>9.4820000000000008E-3</v>
      </c>
      <c r="L40" s="110"/>
      <c r="M40" s="110">
        <v>53.36</v>
      </c>
      <c r="N40" s="156">
        <f t="shared" si="27"/>
        <v>5.4271489668990701E-3</v>
      </c>
      <c r="O40" s="110"/>
      <c r="P40" s="156">
        <f t="shared" ref="P40:P58" si="31">H40-H39</f>
        <v>3.9768401015228383E-2</v>
      </c>
      <c r="Q40" s="156">
        <f t="shared" si="28"/>
        <v>-5.9531777126931695E-2</v>
      </c>
    </row>
    <row r="41" spans="1:17" ht="12.75" customHeight="1">
      <c r="A41" s="152" t="s">
        <v>102</v>
      </c>
      <c r="B41" s="110">
        <v>12872.01</v>
      </c>
      <c r="C41" s="110">
        <v>1576</v>
      </c>
      <c r="D41" s="110">
        <f t="shared" si="29"/>
        <v>11032</v>
      </c>
      <c r="E41" s="110">
        <f t="shared" si="30"/>
        <v>1463.9600000000009</v>
      </c>
      <c r="F41" s="153">
        <f t="shared" si="24"/>
        <v>1.1667884336475707</v>
      </c>
      <c r="G41" s="110">
        <f t="shared" si="25"/>
        <v>1350.7161663174593</v>
      </c>
      <c r="H41" s="163">
        <f t="shared" si="26"/>
        <v>0.16678843364757068</v>
      </c>
      <c r="I41" s="155">
        <f>52760.48/I34-1</f>
        <v>3.1482208462300099E-2</v>
      </c>
      <c r="J41" s="155">
        <f>SUM(J40+1)*(0.0071+1)-1</f>
        <v>2.0393720000000171E-2</v>
      </c>
      <c r="K41" s="155">
        <f>SUM(K40+1)*(0.009838+1)-1</f>
        <v>1.9413283915999946E-2</v>
      </c>
      <c r="L41" s="110"/>
      <c r="M41" s="110">
        <v>74.45</v>
      </c>
      <c r="N41" s="156">
        <f t="shared" si="27"/>
        <v>5.7838674767965535E-3</v>
      </c>
      <c r="O41" s="110"/>
      <c r="P41" s="156">
        <f t="shared" si="31"/>
        <v>0.12702003263234229</v>
      </c>
      <c r="Q41" s="156">
        <f t="shared" si="28"/>
        <v>0.13530622518527058</v>
      </c>
    </row>
    <row r="42" spans="1:17" ht="12.75" customHeight="1">
      <c r="A42" s="152" t="s">
        <v>103</v>
      </c>
      <c r="B42" s="110">
        <v>15468.71</v>
      </c>
      <c r="C42" s="110">
        <v>1576</v>
      </c>
      <c r="D42" s="110">
        <f t="shared" si="29"/>
        <v>12608</v>
      </c>
      <c r="E42" s="110">
        <f t="shared" si="30"/>
        <v>1020.6999999999989</v>
      </c>
      <c r="F42" s="153">
        <f t="shared" si="24"/>
        <v>1.2268964149746193</v>
      </c>
      <c r="G42" s="110">
        <f t="shared" si="25"/>
        <v>1284.542020633912</v>
      </c>
      <c r="H42" s="163">
        <f t="shared" si="26"/>
        <v>0.22689641497461932</v>
      </c>
      <c r="I42" s="155">
        <f>53080.88/I34-1</f>
        <v>3.7746118487214764E-2</v>
      </c>
      <c r="J42" s="155">
        <f>SUM(J41+1)*(0.0074+1)-1</f>
        <v>2.7944633528000251E-2</v>
      </c>
      <c r="K42" s="155">
        <f>SUM(K41+1)*(0.010658+1)-1</f>
        <v>3.0278190695976814E-2</v>
      </c>
      <c r="L42" s="110"/>
      <c r="M42" s="110">
        <v>40.22</v>
      </c>
      <c r="N42" s="156">
        <f t="shared" si="27"/>
        <v>2.6000875315394757E-3</v>
      </c>
      <c r="O42" s="110"/>
      <c r="P42" s="156">
        <f t="shared" si="31"/>
        <v>6.0107981327048643E-2</v>
      </c>
      <c r="Q42" s="156">
        <f t="shared" si="28"/>
        <v>0.18915029648740456</v>
      </c>
    </row>
    <row r="43" spans="1:17" ht="12.75" customHeight="1">
      <c r="A43" s="152" t="s">
        <v>104</v>
      </c>
      <c r="B43" s="110">
        <v>15602.82</v>
      </c>
      <c r="C43" s="110">
        <v>1576</v>
      </c>
      <c r="D43" s="110">
        <f t="shared" si="29"/>
        <v>14184</v>
      </c>
      <c r="E43" s="110">
        <f t="shared" si="30"/>
        <v>-1441.8899999999994</v>
      </c>
      <c r="F43" s="153">
        <f t="shared" si="24"/>
        <v>1.1000296108291032</v>
      </c>
      <c r="G43" s="110">
        <f t="shared" si="25"/>
        <v>1432.6887062723276</v>
      </c>
      <c r="H43" s="163">
        <f t="shared" si="26"/>
        <v>0.10002961082910322</v>
      </c>
      <c r="I43" s="155">
        <f>50864.77/I34-1</f>
        <v>-5.579454687922869E-3</v>
      </c>
      <c r="J43" s="155">
        <f>SUM(J42+1)*(0.0079+1)-1</f>
        <v>3.6065396132871408E-2</v>
      </c>
      <c r="K43" s="155">
        <f>SUM(K42+1)*(0.011773+1)-1</f>
        <v>4.2407655835040581E-2</v>
      </c>
      <c r="L43" s="110"/>
      <c r="M43" s="110">
        <v>7.73</v>
      </c>
      <c r="N43" s="156">
        <f t="shared" si="27"/>
        <v>4.9542326323062115E-4</v>
      </c>
      <c r="O43" s="110"/>
      <c r="P43" s="156">
        <f t="shared" si="31"/>
        <v>-0.1268668041455161</v>
      </c>
      <c r="Q43" s="156">
        <f t="shared" si="28"/>
        <v>0.10560906551702609</v>
      </c>
    </row>
    <row r="44" spans="1:17" ht="12.75" customHeight="1">
      <c r="A44" s="152" t="s">
        <v>105</v>
      </c>
      <c r="B44" s="110">
        <v>14767.29</v>
      </c>
      <c r="C44" s="110">
        <v>1576</v>
      </c>
      <c r="D44" s="110">
        <f t="shared" si="29"/>
        <v>15760</v>
      </c>
      <c r="E44" s="110">
        <f t="shared" si="30"/>
        <v>-2411.5299999999988</v>
      </c>
      <c r="F44" s="153">
        <f t="shared" si="24"/>
        <v>0.93701078680203054</v>
      </c>
      <c r="G44" s="110">
        <f t="shared" si="25"/>
        <v>1681.9443513332506</v>
      </c>
      <c r="H44" s="163">
        <f t="shared" si="26"/>
        <v>-6.2989213197969462E-2</v>
      </c>
      <c r="I44" s="155">
        <f>46625.52/I34-1</f>
        <v>-8.8457983318136368E-2</v>
      </c>
      <c r="J44" s="155">
        <f>SUM(J43+1)*(0.0062+1)-1</f>
        <v>4.2489001588895237E-2</v>
      </c>
      <c r="K44" s="155">
        <f t="shared" ref="K44:K45" si="32">SUM(K43+1)*(0.011074+1)-1</f>
        <v>5.3951278215757847E-2</v>
      </c>
      <c r="L44" s="110"/>
      <c r="M44" s="110">
        <v>0.6</v>
      </c>
      <c r="N44" s="156">
        <f t="shared" si="27"/>
        <v>4.0630339080494791E-5</v>
      </c>
      <c r="O44" s="110"/>
      <c r="P44" s="156">
        <f t="shared" si="31"/>
        <v>-0.16301882402707268</v>
      </c>
      <c r="Q44" s="156">
        <f t="shared" si="28"/>
        <v>2.5468770120166906E-2</v>
      </c>
    </row>
    <row r="45" spans="1:17" ht="12.75" customHeight="1">
      <c r="A45" s="152" t="s">
        <v>106</v>
      </c>
      <c r="B45" s="110">
        <v>14858.77</v>
      </c>
      <c r="C45" s="110">
        <v>1576</v>
      </c>
      <c r="D45" s="110">
        <f t="shared" si="29"/>
        <v>17336</v>
      </c>
      <c r="E45" s="110">
        <f t="shared" si="30"/>
        <v>-1484.5200000000004</v>
      </c>
      <c r="F45" s="153">
        <f t="shared" si="24"/>
        <v>0.85710486848177203</v>
      </c>
      <c r="G45" s="110">
        <f t="shared" si="25"/>
        <v>1838.7481601774575</v>
      </c>
      <c r="H45" s="155">
        <f t="shared" si="26"/>
        <v>-0.14289513151822797</v>
      </c>
      <c r="I45" s="163">
        <f>45059.34/I34-1</f>
        <v>-0.11907724237812756</v>
      </c>
      <c r="J45" s="155">
        <f>SUM(J44+1)*(0.0022+1)-1</f>
        <v>4.4782477392390829E-2</v>
      </c>
      <c r="K45" s="155">
        <f t="shared" si="32"/>
        <v>6.5622734670719218E-2</v>
      </c>
      <c r="L45" s="110"/>
      <c r="M45" s="110">
        <v>88.83</v>
      </c>
      <c r="N45" s="156">
        <f t="shared" si="27"/>
        <v>5.9782875702362979E-3</v>
      </c>
      <c r="O45" s="110"/>
      <c r="P45" s="156">
        <f t="shared" si="31"/>
        <v>-7.9905918320258507E-2</v>
      </c>
      <c r="Q45" s="156">
        <f t="shared" si="28"/>
        <v>-2.3817889140100412E-2</v>
      </c>
    </row>
    <row r="46" spans="1:17" ht="12.75" customHeight="1">
      <c r="A46" s="152" t="s">
        <v>107</v>
      </c>
      <c r="B46" s="110">
        <v>17021.52</v>
      </c>
      <c r="C46" s="110">
        <v>1576</v>
      </c>
      <c r="D46" s="110">
        <f t="shared" si="29"/>
        <v>18912</v>
      </c>
      <c r="E46" s="110">
        <f t="shared" si="30"/>
        <v>586.75</v>
      </c>
      <c r="F46" s="153">
        <f t="shared" si="24"/>
        <v>0.90003807106598988</v>
      </c>
      <c r="G46" s="110">
        <f t="shared" si="25"/>
        <v>1751.0370401703256</v>
      </c>
      <c r="H46" s="163">
        <f t="shared" si="26"/>
        <v>-9.9961928934010125E-2</v>
      </c>
      <c r="I46" s="155">
        <f>45868.82/I34-1</f>
        <v>-0.1032516809331584</v>
      </c>
      <c r="J46" s="155">
        <f>SUM(J45+1)*(0.0054+1)-1</f>
        <v>5.0424302770309737E-2</v>
      </c>
      <c r="K46" s="155">
        <f>SUM(K45+1)*(0.011077+1)-1</f>
        <v>7.7426637702666889E-2</v>
      </c>
      <c r="L46" s="110"/>
      <c r="M46" s="110">
        <v>0.6</v>
      </c>
      <c r="N46" s="156">
        <f t="shared" si="27"/>
        <v>3.524949593220817E-5</v>
      </c>
      <c r="O46" s="110"/>
      <c r="P46" s="156">
        <f t="shared" si="31"/>
        <v>4.2933202584217844E-2</v>
      </c>
      <c r="Q46" s="156">
        <f t="shared" si="28"/>
        <v>3.2897519991482715E-3</v>
      </c>
    </row>
    <row r="47" spans="1:17" ht="12.75" customHeight="1">
      <c r="A47" s="152" t="s">
        <v>108</v>
      </c>
      <c r="B47" s="110">
        <v>18123.72</v>
      </c>
      <c r="C47" s="110">
        <v>1576</v>
      </c>
      <c r="D47" s="110">
        <f t="shared" si="29"/>
        <v>20488</v>
      </c>
      <c r="E47" s="110">
        <f t="shared" si="30"/>
        <v>-473.79999999999927</v>
      </c>
      <c r="F47" s="153">
        <f t="shared" si="24"/>
        <v>0.88460171807887544</v>
      </c>
      <c r="G47" s="110">
        <f t="shared" si="25"/>
        <v>1781.5927414460166</v>
      </c>
      <c r="H47" s="163">
        <f t="shared" si="26"/>
        <v>-0.11539828192112456</v>
      </c>
      <c r="I47" s="155">
        <f>45120.36/I34-1</f>
        <v>-0.11788428423293307</v>
      </c>
      <c r="J47" s="155">
        <f>SUM(J46+1)*(0.0082+1)-1</f>
        <v>5.9037782053026344E-2</v>
      </c>
      <c r="K47" s="155">
        <f>SUM(K46+1)*(0.010551+1)-1</f>
        <v>8.8794566157067711E-2</v>
      </c>
      <c r="L47" s="110"/>
      <c r="M47" s="110">
        <v>0.6</v>
      </c>
      <c r="N47" s="156">
        <f t="shared" si="27"/>
        <v>3.3105786229317154E-5</v>
      </c>
      <c r="O47" s="110"/>
      <c r="P47" s="156">
        <f t="shared" si="31"/>
        <v>-1.5436352987114432E-2</v>
      </c>
      <c r="Q47" s="156">
        <f t="shared" si="28"/>
        <v>2.4860023118085106E-3</v>
      </c>
    </row>
    <row r="48" spans="1:17" ht="12.75" customHeight="1">
      <c r="A48" s="152" t="s">
        <v>109</v>
      </c>
      <c r="B48" s="110">
        <v>18367</v>
      </c>
      <c r="C48" s="110">
        <v>1576</v>
      </c>
      <c r="D48" s="110">
        <f t="shared" si="29"/>
        <v>22064</v>
      </c>
      <c r="E48" s="110">
        <f t="shared" si="30"/>
        <v>-1332.7200000000012</v>
      </c>
      <c r="F48" s="153">
        <f t="shared" si="24"/>
        <v>0.83244198694706306</v>
      </c>
      <c r="G48" s="110">
        <f t="shared" si="25"/>
        <v>1893.2250231393261</v>
      </c>
      <c r="H48" s="163">
        <f t="shared" si="26"/>
        <v>-0.16755801305293694</v>
      </c>
      <c r="I48" s="155">
        <f>42349.96/I34-1</f>
        <v>-0.17204638265061156</v>
      </c>
      <c r="J48" s="155">
        <f>SUM(J47+1)*(0.0101+1)-1</f>
        <v>6.9734063651761824E-2</v>
      </c>
      <c r="K48" s="155">
        <f>SUM(K47+1)*(0.011613+1)-1</f>
        <v>0.1014387374538499</v>
      </c>
      <c r="L48" s="110"/>
      <c r="M48" s="110">
        <v>203.54</v>
      </c>
      <c r="N48" s="156">
        <f t="shared" si="27"/>
        <v>1.1081831545706975E-2</v>
      </c>
      <c r="O48" s="110"/>
      <c r="P48" s="156">
        <f t="shared" si="31"/>
        <v>-5.2159731131812381E-2</v>
      </c>
      <c r="Q48" s="156">
        <f t="shared" si="28"/>
        <v>4.4883695976746241E-3</v>
      </c>
    </row>
    <row r="49" spans="1:17" ht="12.75" customHeight="1">
      <c r="A49" s="1" t="s">
        <v>110</v>
      </c>
      <c r="B49" s="167">
        <v>18642.2</v>
      </c>
      <c r="C49" s="167">
        <v>1760</v>
      </c>
      <c r="D49" s="168">
        <f t="shared" si="29"/>
        <v>23824</v>
      </c>
      <c r="E49" s="168">
        <f t="shared" si="30"/>
        <v>-1484.7999999999993</v>
      </c>
      <c r="F49" s="169">
        <f t="shared" si="24"/>
        <v>0.78249664204163871</v>
      </c>
      <c r="G49" s="168">
        <f t="shared" si="25"/>
        <v>2249.2109300404459</v>
      </c>
      <c r="H49" s="171">
        <f t="shared" si="26"/>
        <v>-0.21750335795836129</v>
      </c>
      <c r="I49" s="172">
        <f>40405.99/I34-1</f>
        <v>-0.21005154236076695</v>
      </c>
      <c r="J49" s="171">
        <f>SUM(J48+1)*(0.0096+1)-1</f>
        <v>8.0003510662818744E-2</v>
      </c>
      <c r="K49" s="155">
        <f>SUM(K48+1)*(0.010549+1)-1</f>
        <v>0.11305781469525056</v>
      </c>
      <c r="L49" s="168"/>
      <c r="M49" s="168">
        <v>0.6</v>
      </c>
      <c r="N49" s="175">
        <f t="shared" si="27"/>
        <v>3.2185042537897884E-5</v>
      </c>
      <c r="O49" s="168"/>
      <c r="P49" s="175">
        <f t="shared" si="31"/>
        <v>-4.9945344905424349E-2</v>
      </c>
      <c r="Q49" s="175">
        <f t="shared" si="28"/>
        <v>-7.4518155975943356E-3</v>
      </c>
    </row>
    <row r="50" spans="1:17" ht="12.75" customHeight="1">
      <c r="A50" s="1" t="s">
        <v>112</v>
      </c>
      <c r="B50" s="167">
        <v>20441.060000000001</v>
      </c>
      <c r="C50" s="167">
        <v>1760</v>
      </c>
      <c r="D50" s="168">
        <f t="shared" si="29"/>
        <v>25584</v>
      </c>
      <c r="E50" s="168">
        <f t="shared" si="30"/>
        <v>38.860000000000582</v>
      </c>
      <c r="F50" s="169">
        <f t="shared" si="24"/>
        <v>0.79897826766729207</v>
      </c>
      <c r="G50" s="168">
        <f t="shared" si="25"/>
        <v>2202.8133570372574</v>
      </c>
      <c r="H50" s="171">
        <f t="shared" si="26"/>
        <v>-0.20102173233270793</v>
      </c>
      <c r="I50" s="172">
        <f>42793.86/I34-1</f>
        <v>-0.16336801292508185</v>
      </c>
      <c r="J50" s="171">
        <f>SUM(J49+1)*(0.0127+1)-1</f>
        <v>9.3719555248236386E-2</v>
      </c>
      <c r="K50" s="155">
        <f>SUM(K49+1)*(0.010014+1)-1</f>
        <v>0.12420397565160868</v>
      </c>
      <c r="L50" s="168"/>
      <c r="M50" s="168">
        <v>261.08</v>
      </c>
      <c r="N50" s="175">
        <f t="shared" si="27"/>
        <v>1.2772331767530645E-2</v>
      </c>
      <c r="O50" s="168"/>
      <c r="P50" s="175">
        <f t="shared" si="31"/>
        <v>1.6481625625653362E-2</v>
      </c>
      <c r="Q50" s="175">
        <f t="shared" si="28"/>
        <v>-3.7653719407626074E-2</v>
      </c>
    </row>
    <row r="51" spans="1:17" ht="12.75" customHeight="1">
      <c r="A51" s="1" t="s">
        <v>113</v>
      </c>
      <c r="B51" s="167">
        <v>28263.99</v>
      </c>
      <c r="C51" s="167">
        <v>1760</v>
      </c>
      <c r="D51" s="168">
        <f t="shared" si="29"/>
        <v>27344</v>
      </c>
      <c r="E51" s="168">
        <f t="shared" si="30"/>
        <v>6062.93</v>
      </c>
      <c r="F51" s="169">
        <f t="shared" si="24"/>
        <v>1.0336450409596256</v>
      </c>
      <c r="G51" s="168">
        <f t="shared" si="25"/>
        <v>1702.7121789952514</v>
      </c>
      <c r="H51" s="171">
        <f t="shared" si="26"/>
        <v>3.3645040959625616E-2</v>
      </c>
      <c r="I51" s="172">
        <f>50055.27/$I$34-1</f>
        <v>-2.1405407138511579E-2</v>
      </c>
      <c r="J51" s="171">
        <f>SUM(J50+1)*(0.009+1)-1</f>
        <v>0.1035630312454705</v>
      </c>
      <c r="K51" s="155">
        <f>SUM(K50+1)*(0.011605+1)-1</f>
        <v>0.13725036278904579</v>
      </c>
      <c r="L51" s="168"/>
      <c r="M51" s="168">
        <v>90.74</v>
      </c>
      <c r="N51" s="175">
        <f t="shared" si="27"/>
        <v>3.2104455174234068E-3</v>
      </c>
      <c r="O51" s="168"/>
      <c r="P51" s="175">
        <f t="shared" si="31"/>
        <v>0.23466677329233354</v>
      </c>
      <c r="Q51" s="175">
        <f t="shared" si="28"/>
        <v>5.5050448098137195E-2</v>
      </c>
    </row>
    <row r="52" spans="1:17" ht="12.75" customHeight="1">
      <c r="A52" s="1" t="s">
        <v>114</v>
      </c>
      <c r="B52" s="167">
        <v>32260.7</v>
      </c>
      <c r="C52" s="167">
        <v>1760</v>
      </c>
      <c r="D52" s="168">
        <f t="shared" si="29"/>
        <v>29104</v>
      </c>
      <c r="E52" s="168">
        <f t="shared" si="30"/>
        <v>2236.7099999999991</v>
      </c>
      <c r="F52" s="169">
        <f t="shared" si="24"/>
        <v>1.1084627542605827</v>
      </c>
      <c r="G52" s="168">
        <f t="shared" si="25"/>
        <v>1587.7845180048789</v>
      </c>
      <c r="H52" s="171">
        <f t="shared" si="26"/>
        <v>0.10846275426058272</v>
      </c>
      <c r="I52" s="172">
        <f>53910.51/$I$34-1</f>
        <v>5.3965618093863243E-2</v>
      </c>
      <c r="J52" s="171">
        <f>SUM(J51+1)*(0.0043+1)-1</f>
        <v>0.10830835227982605</v>
      </c>
      <c r="K52" s="155">
        <f>SUM(K51+1)*(0.010544+1)-1</f>
        <v>0.14924153061429357</v>
      </c>
      <c r="L52" s="168"/>
      <c r="M52" s="168">
        <v>19.97</v>
      </c>
      <c r="N52" s="175">
        <f t="shared" si="27"/>
        <v>6.1901942611288657E-4</v>
      </c>
      <c r="O52" s="168"/>
      <c r="P52" s="175">
        <f t="shared" si="31"/>
        <v>7.48177133009571E-2</v>
      </c>
      <c r="Q52" s="175">
        <f t="shared" si="28"/>
        <v>5.4497136166719473E-2</v>
      </c>
    </row>
    <row r="53" spans="1:17" ht="12.75" customHeight="1">
      <c r="A53" s="1" t="s">
        <v>115</v>
      </c>
      <c r="B53" s="167">
        <v>30654.19</v>
      </c>
      <c r="C53" s="167">
        <v>1760</v>
      </c>
      <c r="D53" s="168">
        <f t="shared" si="29"/>
        <v>30864</v>
      </c>
      <c r="E53" s="168">
        <f t="shared" si="30"/>
        <v>-3366.510000000002</v>
      </c>
      <c r="F53" s="169">
        <f t="shared" si="24"/>
        <v>0.99320211249351986</v>
      </c>
      <c r="G53" s="168">
        <f t="shared" si="25"/>
        <v>1772.0461705235077</v>
      </c>
      <c r="H53" s="171">
        <f t="shared" si="26"/>
        <v>-6.7978875064801381E-3</v>
      </c>
      <c r="I53" s="172">
        <f>49012.65/$I$34-1</f>
        <v>-4.1788921090373909E-2</v>
      </c>
      <c r="J53" s="171">
        <f>SUM(J52+1)*(0.0061+1)-1</f>
        <v>0.11506903322873296</v>
      </c>
      <c r="K53" s="155">
        <f>SUM(K52+1)*(0.0111+1)-1</f>
        <v>0.16199811160411226</v>
      </c>
      <c r="L53" s="168"/>
      <c r="M53" s="168">
        <f>37.16+1.35</f>
        <v>38.51</v>
      </c>
      <c r="N53" s="175">
        <f t="shared" si="27"/>
        <v>1.2562719810896978E-3</v>
      </c>
      <c r="O53" s="168"/>
      <c r="P53" s="175">
        <f t="shared" si="31"/>
        <v>-0.11526064176706285</v>
      </c>
      <c r="Q53" s="175">
        <f t="shared" si="28"/>
        <v>3.4991033583893771E-2</v>
      </c>
    </row>
    <row r="54" spans="1:17" ht="12.75" customHeight="1">
      <c r="A54" s="1" t="s">
        <v>116</v>
      </c>
      <c r="B54" s="167">
        <v>34661.58</v>
      </c>
      <c r="C54" s="167">
        <v>1760</v>
      </c>
      <c r="D54" s="168">
        <f t="shared" si="29"/>
        <v>32624</v>
      </c>
      <c r="E54" s="168">
        <f t="shared" si="30"/>
        <v>2247.3900000000031</v>
      </c>
      <c r="F54" s="169">
        <f t="shared" si="24"/>
        <v>1.062456473761648</v>
      </c>
      <c r="G54" s="168">
        <f t="shared" si="25"/>
        <v>1656.5384497763805</v>
      </c>
      <c r="H54" s="171">
        <f t="shared" si="26"/>
        <v>6.2456473761647979E-2</v>
      </c>
      <c r="I54" s="172">
        <f>51526.93/$I$34-1</f>
        <v>7.3659593635679865E-3</v>
      </c>
      <c r="J54" s="171">
        <f>SUM(J53+1)*(0.0078+1)-1</f>
        <v>0.12376657168791705</v>
      </c>
      <c r="K54" s="155">
        <f>SUM(K53+1)*(0.0116+1)-1</f>
        <v>0.17547728969872001</v>
      </c>
      <c r="L54" s="168"/>
      <c r="M54" s="168">
        <f>8.64+27.86+9.78</f>
        <v>46.28</v>
      </c>
      <c r="N54" s="175">
        <f t="shared" si="27"/>
        <v>1.3351959143235825E-3</v>
      </c>
      <c r="O54" s="168"/>
      <c r="P54" s="175">
        <f t="shared" si="31"/>
        <v>6.9254361268128117E-2</v>
      </c>
      <c r="Q54" s="175">
        <f t="shared" si="28"/>
        <v>5.5090514398079993E-2</v>
      </c>
    </row>
    <row r="55" spans="1:17" ht="12.75" customHeight="1">
      <c r="A55" s="1" t="s">
        <v>117</v>
      </c>
      <c r="B55" s="167">
        <v>43781.85</v>
      </c>
      <c r="C55" s="167">
        <v>1760</v>
      </c>
      <c r="D55" s="168">
        <f t="shared" si="29"/>
        <v>34384</v>
      </c>
      <c r="E55" s="168">
        <f t="shared" si="30"/>
        <v>7360.2699999999968</v>
      </c>
      <c r="F55" s="169">
        <f t="shared" si="24"/>
        <v>1.2733204397394136</v>
      </c>
      <c r="G55" s="168">
        <f t="shared" si="25"/>
        <v>1382.2129489731476</v>
      </c>
      <c r="H55" s="171">
        <f t="shared" si="26"/>
        <v>0.27332043973941356</v>
      </c>
      <c r="I55" s="172">
        <f>57308.21/$I$34-1</f>
        <v>0.1203916077681868</v>
      </c>
      <c r="J55" s="171">
        <f>SUM(J54+1)*(0.0035+1)-1</f>
        <v>0.12769975468882477</v>
      </c>
      <c r="K55" s="155">
        <f>SUM(K54+1)*(0.0111+1)-1</f>
        <v>0.18852508761437603</v>
      </c>
      <c r="L55" s="168"/>
      <c r="M55" s="168">
        <f>1.48+13.49</f>
        <v>14.97</v>
      </c>
      <c r="N55" s="175">
        <f t="shared" si="27"/>
        <v>3.4192250898488759E-4</v>
      </c>
      <c r="O55" s="168"/>
      <c r="P55" s="175">
        <f t="shared" si="31"/>
        <v>0.21086396597776558</v>
      </c>
      <c r="Q55" s="175">
        <f t="shared" si="28"/>
        <v>0.15292883197122675</v>
      </c>
    </row>
    <row r="56" spans="1:17" ht="12.75" customHeight="1">
      <c r="A56" s="1" t="s">
        <v>118</v>
      </c>
      <c r="B56" s="167">
        <v>45874.5</v>
      </c>
      <c r="C56" s="167">
        <v>1760</v>
      </c>
      <c r="D56" s="168">
        <f t="shared" si="29"/>
        <v>36144</v>
      </c>
      <c r="E56" s="168">
        <f t="shared" si="30"/>
        <v>332.65000000000146</v>
      </c>
      <c r="F56" s="169">
        <f t="shared" si="24"/>
        <v>1.2692148074369189</v>
      </c>
      <c r="G56" s="168">
        <f t="shared" si="25"/>
        <v>1386.6841055488344</v>
      </c>
      <c r="H56" s="171">
        <f t="shared" si="26"/>
        <v>0.26921480743691895</v>
      </c>
      <c r="I56" s="172">
        <f>57901.11/$I$34-1</f>
        <v>0.13198296935923559</v>
      </c>
      <c r="J56" s="171">
        <f>SUM(J55+1)*(0.0052+1)-1</f>
        <v>0.13356379341320679</v>
      </c>
      <c r="K56" s="155">
        <f>SUM(K55+1)*(0.0121+1)-1</f>
        <v>0.20290624117450995</v>
      </c>
      <c r="L56" s="168"/>
      <c r="M56" s="168">
        <v>40.380000000000003</v>
      </c>
      <c r="N56" s="175">
        <f t="shared" si="27"/>
        <v>8.8022757741228793E-4</v>
      </c>
      <c r="O56" s="168"/>
      <c r="P56" s="175">
        <f t="shared" si="31"/>
        <v>-4.1056323024946106E-3</v>
      </c>
      <c r="Q56" s="175">
        <f t="shared" si="28"/>
        <v>0.13723183807768335</v>
      </c>
    </row>
    <row r="57" spans="1:17" ht="12.75" customHeight="1">
      <c r="A57" s="1" t="s">
        <v>119</v>
      </c>
      <c r="B57" s="167">
        <v>47152.73</v>
      </c>
      <c r="C57" s="167">
        <v>1760</v>
      </c>
      <c r="D57" s="168">
        <f t="shared" si="29"/>
        <v>37904</v>
      </c>
      <c r="E57" s="168">
        <f t="shared" si="30"/>
        <v>-481.7699999999968</v>
      </c>
      <c r="F57" s="169">
        <f t="shared" si="24"/>
        <v>1.2440040628957367</v>
      </c>
      <c r="G57" s="168">
        <f t="shared" si="25"/>
        <v>1414.7863761016592</v>
      </c>
      <c r="H57" s="171">
        <f t="shared" si="26"/>
        <v>0.24400406289573673</v>
      </c>
      <c r="I57" s="172">
        <f>58367.05/$I$34-1</f>
        <v>0.14109222727749038</v>
      </c>
      <c r="J57" s="171">
        <f t="shared" ref="J57:J58" si="33">SUM(J56+1)*(0.0044+1)-1</f>
        <v>0.13855147410422486</v>
      </c>
      <c r="K57" s="155">
        <f t="shared" ref="K57:K58" si="34">SUM(K56+1)*(0.0105+1)-1</f>
        <v>0.21553675670684225</v>
      </c>
      <c r="L57" s="168"/>
      <c r="M57" s="168">
        <f>1.75+18.7+7.38+11.6+35.21</f>
        <v>74.64</v>
      </c>
      <c r="N57" s="175">
        <f t="shared" si="27"/>
        <v>1.5829412210067158E-3</v>
      </c>
      <c r="O57" s="168"/>
      <c r="P57" s="175">
        <f t="shared" si="31"/>
        <v>-2.5210744541182217E-2</v>
      </c>
      <c r="Q57" s="175">
        <f t="shared" si="28"/>
        <v>0.10291183561824635</v>
      </c>
    </row>
    <row r="58" spans="1:17" ht="12.75" customHeight="1">
      <c r="A58" s="1" t="s">
        <v>120</v>
      </c>
      <c r="B58" s="167" t="e">
        <f ca="1">P2</f>
        <v>#VALUE!</v>
      </c>
      <c r="C58" s="167">
        <f>1760+Q2</f>
        <v>1760</v>
      </c>
      <c r="D58" s="168">
        <f t="shared" si="29"/>
        <v>39664</v>
      </c>
      <c r="E58" s="168" t="e">
        <f t="shared" ca="1" si="30"/>
        <v>#VALUE!</v>
      </c>
      <c r="F58" s="169" t="e">
        <f t="shared" ca="1" si="24"/>
        <v>#VALUE!</v>
      </c>
      <c r="G58" s="168" t="e">
        <f t="shared" ca="1" si="25"/>
        <v>#VALUE!</v>
      </c>
      <c r="H58" s="171" t="e">
        <f t="shared" ca="1" si="26"/>
        <v>#VALUE!</v>
      </c>
      <c r="I58" s="172" t="e">
        <f ca="1">$A$1/$I$34-1</f>
        <v>#VALUE!</v>
      </c>
      <c r="J58" s="171">
        <f t="shared" si="33"/>
        <v>0.14356110059028349</v>
      </c>
      <c r="K58" s="155">
        <f t="shared" si="34"/>
        <v>0.22829989265226414</v>
      </c>
      <c r="L58" s="168"/>
      <c r="M58" s="168">
        <f>1.75</f>
        <v>1.75</v>
      </c>
      <c r="N58" s="175" t="e">
        <f t="shared" ca="1" si="27"/>
        <v>#VALUE!</v>
      </c>
      <c r="O58" s="168"/>
      <c r="P58" s="175" t="e">
        <f t="shared" ca="1" si="31"/>
        <v>#VALUE!</v>
      </c>
      <c r="Q58" s="175" t="e">
        <f t="shared" ca="1" si="28"/>
        <v>#VALUE!</v>
      </c>
    </row>
    <row r="59" spans="1:17" ht="12.75" customHeight="1">
      <c r="A59" s="1" t="s">
        <v>121</v>
      </c>
      <c r="B59" s="167"/>
      <c r="C59" s="167"/>
      <c r="D59" s="167"/>
      <c r="E59" s="167"/>
      <c r="F59" s="167"/>
      <c r="G59" s="167"/>
      <c r="H59" s="176"/>
      <c r="I59" s="176"/>
      <c r="J59" s="176"/>
      <c r="K59" s="176"/>
      <c r="L59" s="167"/>
      <c r="M59" s="167"/>
      <c r="N59" s="167"/>
      <c r="O59" s="167"/>
      <c r="P59" s="167"/>
      <c r="Q59" s="177"/>
    </row>
    <row r="60" spans="1:17" ht="12.75" customHeight="1">
      <c r="A60" s="1" t="s">
        <v>122</v>
      </c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77"/>
    </row>
    <row r="61" spans="1:17" ht="12.75" customHeight="1"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38"/>
    </row>
    <row r="62" spans="1:17" ht="12.75" customHeight="1">
      <c r="B62" s="146"/>
      <c r="C62" s="146"/>
      <c r="D62" s="146"/>
      <c r="E62" s="146"/>
      <c r="F62" s="146"/>
      <c r="G62" s="146"/>
      <c r="H62" s="139"/>
      <c r="I62" s="146"/>
      <c r="J62" s="146"/>
      <c r="K62" s="146"/>
      <c r="L62" s="146"/>
      <c r="M62" s="146"/>
      <c r="N62" s="146"/>
      <c r="O62" s="146"/>
      <c r="Q62" s="138"/>
    </row>
    <row r="63" spans="1:17" ht="12.75" customHeight="1">
      <c r="B63" s="146"/>
      <c r="C63" s="146"/>
      <c r="D63" s="146"/>
      <c r="E63" s="146"/>
      <c r="F63" s="139"/>
      <c r="G63" s="146"/>
      <c r="H63" s="146"/>
      <c r="I63" s="146"/>
      <c r="J63" s="146"/>
      <c r="K63" s="146"/>
      <c r="L63" s="146"/>
      <c r="M63" s="146"/>
      <c r="N63" s="146"/>
      <c r="O63" s="146"/>
      <c r="P63" s="139"/>
      <c r="Q63" s="138"/>
    </row>
    <row r="64" spans="1:17" ht="12.75" customHeight="1"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38"/>
    </row>
    <row r="65" spans="2:17" ht="12.75" customHeight="1">
      <c r="B65" s="182"/>
      <c r="C65" s="18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38"/>
    </row>
    <row r="66" spans="2:17" ht="12.75" customHeight="1">
      <c r="B66" s="183"/>
      <c r="C66" s="183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38"/>
    </row>
    <row r="67" spans="2:17" ht="12.75" customHeight="1">
      <c r="B67" s="183"/>
      <c r="C67" s="183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38"/>
    </row>
    <row r="68" spans="2:17" ht="12.75" customHeight="1">
      <c r="B68" s="183"/>
      <c r="C68" s="183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38"/>
    </row>
    <row r="69" spans="2:17" ht="12.75" customHeight="1">
      <c r="B69" s="183"/>
      <c r="C69" s="183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38"/>
    </row>
    <row r="70" spans="2:17" ht="12.75" customHeight="1">
      <c r="B70" s="183"/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38"/>
    </row>
    <row r="71" spans="2:17" ht="12.75" customHeight="1">
      <c r="B71" s="183"/>
      <c r="C71" s="183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38"/>
    </row>
    <row r="72" spans="2:17" ht="12.75" customHeight="1">
      <c r="B72" s="183"/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38"/>
    </row>
    <row r="73" spans="2:17" ht="12.75" customHeight="1">
      <c r="B73" s="183"/>
      <c r="C73" s="183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38"/>
    </row>
    <row r="74" spans="2:17" ht="12.75" customHeight="1"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38"/>
    </row>
    <row r="75" spans="2:17" ht="12.75" customHeight="1">
      <c r="B75" s="183"/>
      <c r="C75" s="183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38"/>
    </row>
    <row r="76" spans="2:17" ht="12.75" customHeight="1">
      <c r="B76" s="183"/>
      <c r="C76" s="183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38"/>
    </row>
    <row r="77" spans="2:17" ht="12.75" customHeight="1">
      <c r="B77" s="183"/>
      <c r="C77" s="183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38"/>
    </row>
    <row r="78" spans="2:17" ht="12.75" customHeight="1">
      <c r="B78" s="183"/>
      <c r="C78" s="183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38"/>
    </row>
    <row r="79" spans="2:17" ht="12.75" customHeight="1">
      <c r="B79" s="183"/>
      <c r="C79" s="183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38"/>
    </row>
    <row r="80" spans="2:17" ht="12.75" customHeight="1">
      <c r="B80" s="183"/>
      <c r="C80" s="183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38"/>
    </row>
    <row r="81" spans="2:17" ht="12.75" customHeight="1">
      <c r="B81" s="183"/>
      <c r="C81" s="183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38"/>
    </row>
    <row r="82" spans="2:17" ht="12.75" customHeight="1">
      <c r="B82" s="183"/>
      <c r="C82" s="183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38"/>
    </row>
    <row r="83" spans="2:17" ht="12.75" customHeight="1">
      <c r="B83" s="183"/>
      <c r="C83" s="183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38"/>
    </row>
    <row r="84" spans="2:17" ht="12.75" customHeight="1">
      <c r="B84" s="183"/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38"/>
    </row>
    <row r="85" spans="2:17" ht="12.75" customHeight="1">
      <c r="B85" s="183"/>
      <c r="C85" s="183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38"/>
    </row>
    <row r="86" spans="2:17" ht="12.75" customHeight="1">
      <c r="B86" s="183"/>
      <c r="C86" s="183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38"/>
    </row>
    <row r="87" spans="2:17" ht="12.75" customHeight="1">
      <c r="B87" s="183"/>
      <c r="C87" s="183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38"/>
    </row>
    <row r="88" spans="2:17" ht="12.75" customHeight="1">
      <c r="B88" s="183"/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38"/>
    </row>
    <row r="89" spans="2:17" ht="12.75" customHeight="1">
      <c r="B89" s="183"/>
      <c r="C89" s="183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38"/>
    </row>
    <row r="90" spans="2:17" ht="12.75" customHeight="1">
      <c r="B90" s="183"/>
      <c r="C90" s="183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38"/>
    </row>
    <row r="91" spans="2:17" ht="12.75" customHeight="1">
      <c r="B91" s="183"/>
      <c r="C91" s="183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38"/>
    </row>
    <row r="92" spans="2:17" ht="12.75" customHeight="1">
      <c r="B92" s="183"/>
      <c r="C92" s="183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38"/>
    </row>
    <row r="93" spans="2:17" ht="12.75" customHeight="1">
      <c r="B93" s="183"/>
      <c r="C93" s="183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38"/>
    </row>
    <row r="94" spans="2:17" ht="12.75" customHeight="1"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38"/>
    </row>
    <row r="95" spans="2:17" ht="12.75" customHeight="1">
      <c r="B95" s="183"/>
      <c r="C95" s="183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38"/>
    </row>
    <row r="96" spans="2:17" ht="12.75" customHeight="1">
      <c r="B96" s="183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38"/>
    </row>
    <row r="97" spans="2:17" ht="12.75" customHeight="1">
      <c r="B97" s="183"/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38"/>
    </row>
    <row r="98" spans="2:17" ht="12.75" customHeight="1">
      <c r="B98" s="183"/>
      <c r="C98" s="183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38"/>
    </row>
    <row r="99" spans="2:17" ht="12.75" customHeight="1">
      <c r="B99" s="183"/>
      <c r="C99" s="183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38"/>
    </row>
    <row r="100" spans="2:17" ht="12.75" customHeight="1">
      <c r="B100" s="183"/>
      <c r="C100" s="183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38"/>
    </row>
    <row r="101" spans="2:17" ht="12.75" customHeight="1">
      <c r="B101" s="183"/>
      <c r="C101" s="183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38"/>
    </row>
    <row r="102" spans="2:17" ht="12.75" customHeight="1">
      <c r="B102" s="183"/>
      <c r="C102" s="183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38"/>
    </row>
    <row r="103" spans="2:17" ht="12.75" customHeight="1">
      <c r="B103" s="183"/>
      <c r="C103" s="183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38"/>
    </row>
    <row r="104" spans="2:17" ht="12.75" customHeight="1">
      <c r="B104" s="183"/>
      <c r="C104" s="183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38"/>
    </row>
    <row r="105" spans="2:17" ht="12.75" customHeight="1">
      <c r="B105" s="183"/>
      <c r="C105" s="183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38"/>
    </row>
    <row r="106" spans="2:17" ht="12.75" customHeight="1">
      <c r="B106" s="183"/>
      <c r="C106" s="183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38"/>
    </row>
    <row r="107" spans="2:17" ht="12.75" customHeight="1">
      <c r="B107" s="183"/>
      <c r="C107" s="183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38"/>
    </row>
    <row r="108" spans="2:17" ht="12.75" customHeight="1">
      <c r="B108" s="183"/>
      <c r="C108" s="183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38"/>
    </row>
    <row r="109" spans="2:17" ht="12.75" customHeight="1">
      <c r="B109" s="183"/>
      <c r="C109" s="183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38"/>
    </row>
    <row r="110" spans="2:17" ht="12.75" customHeight="1"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38"/>
    </row>
    <row r="111" spans="2:17" ht="12.75" customHeight="1">
      <c r="B111" s="183"/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38"/>
    </row>
    <row r="112" spans="2:17" ht="12.75" customHeight="1">
      <c r="B112" s="183"/>
      <c r="C112" s="183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38"/>
    </row>
    <row r="113" spans="2:17" ht="12.75" customHeight="1">
      <c r="B113" s="183"/>
      <c r="C113" s="183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38"/>
    </row>
    <row r="114" spans="2:17" ht="12.75" customHeight="1">
      <c r="B114" s="183"/>
      <c r="C114" s="183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38"/>
    </row>
    <row r="115" spans="2:17" ht="12.75" customHeight="1">
      <c r="B115" s="183"/>
      <c r="C115" s="183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38"/>
    </row>
    <row r="116" spans="2:17" ht="12.75" customHeight="1">
      <c r="B116" s="183"/>
      <c r="C116" s="183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38"/>
    </row>
    <row r="117" spans="2:17" ht="12.75" customHeight="1">
      <c r="B117" s="183"/>
      <c r="C117" s="183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38"/>
    </row>
    <row r="118" spans="2:17" ht="12.75" customHeight="1">
      <c r="B118" s="183"/>
      <c r="C118" s="183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38"/>
    </row>
    <row r="119" spans="2:17" ht="12.75" customHeight="1">
      <c r="B119" s="183"/>
      <c r="C119" s="183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38"/>
    </row>
    <row r="120" spans="2:17" ht="12.75" customHeight="1">
      <c r="B120" s="183"/>
      <c r="C120" s="183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38"/>
    </row>
    <row r="121" spans="2:17" ht="12.75" customHeight="1">
      <c r="B121" s="183"/>
      <c r="C121" s="183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38"/>
    </row>
    <row r="122" spans="2:17" ht="12.75" customHeight="1">
      <c r="B122" s="183"/>
      <c r="C122" s="183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38"/>
    </row>
    <row r="123" spans="2:17" ht="12.75" customHeight="1">
      <c r="B123" s="183"/>
      <c r="C123" s="183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38"/>
    </row>
    <row r="124" spans="2:17" ht="12.75" customHeight="1">
      <c r="B124" s="183"/>
      <c r="C124" s="183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38"/>
    </row>
    <row r="125" spans="2:17" ht="12.75" customHeight="1">
      <c r="B125" s="183"/>
      <c r="C125" s="183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38"/>
    </row>
    <row r="126" spans="2:17" ht="12.75" customHeight="1">
      <c r="B126" s="183"/>
      <c r="C126" s="183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38"/>
    </row>
    <row r="127" spans="2:17" ht="12.75" customHeight="1">
      <c r="B127" s="183"/>
      <c r="C127" s="183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38"/>
    </row>
    <row r="128" spans="2:17" ht="12.75" customHeight="1">
      <c r="B128" s="183"/>
      <c r="C128" s="183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38"/>
    </row>
    <row r="129" spans="2:17" ht="12.75" customHeight="1">
      <c r="B129" s="183"/>
      <c r="C129" s="183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38"/>
    </row>
    <row r="130" spans="2:17" ht="12.75" customHeight="1">
      <c r="B130" s="183"/>
      <c r="C130" s="183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38"/>
    </row>
    <row r="131" spans="2:17" ht="12.75" customHeight="1">
      <c r="B131" s="183"/>
      <c r="C131" s="183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38"/>
    </row>
    <row r="132" spans="2:17" ht="12.75" customHeight="1">
      <c r="B132" s="183"/>
      <c r="C132" s="183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38"/>
    </row>
    <row r="133" spans="2:17" ht="12.75" customHeight="1">
      <c r="B133" s="183"/>
      <c r="C133" s="183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38"/>
    </row>
    <row r="134" spans="2:17" ht="12.75" customHeight="1">
      <c r="B134" s="183"/>
      <c r="C134" s="183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38"/>
    </row>
    <row r="135" spans="2:17" ht="12.75" customHeight="1">
      <c r="B135" s="183"/>
      <c r="C135" s="183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38"/>
    </row>
    <row r="136" spans="2:17" ht="12.75" customHeight="1">
      <c r="B136" s="183"/>
      <c r="C136" s="183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38"/>
    </row>
    <row r="137" spans="2:17" ht="12.75" customHeight="1">
      <c r="B137" s="183"/>
      <c r="C137" s="183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38"/>
    </row>
    <row r="138" spans="2:17" ht="12.75" customHeight="1">
      <c r="B138" s="183"/>
      <c r="C138" s="183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38"/>
    </row>
    <row r="139" spans="2:17" ht="12.75" customHeight="1">
      <c r="B139" s="183"/>
      <c r="C139" s="183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38"/>
    </row>
    <row r="140" spans="2:17" ht="12.75" customHeight="1">
      <c r="B140" s="183"/>
      <c r="C140" s="183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38"/>
    </row>
    <row r="141" spans="2:17" ht="12.75" customHeight="1">
      <c r="B141" s="183"/>
      <c r="C141" s="183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38"/>
    </row>
    <row r="142" spans="2:17" ht="12.75" customHeight="1">
      <c r="B142" s="183"/>
      <c r="C142" s="183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38"/>
    </row>
    <row r="143" spans="2:17" ht="12.75" customHeight="1">
      <c r="B143" s="183"/>
      <c r="C143" s="183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38"/>
    </row>
    <row r="144" spans="2:17" ht="12.75" customHeight="1">
      <c r="B144" s="183"/>
      <c r="C144" s="183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38"/>
    </row>
    <row r="145" spans="2:17" ht="12.75" customHeight="1">
      <c r="B145" s="183"/>
      <c r="C145" s="183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38"/>
    </row>
    <row r="146" spans="2:17" ht="12.75" customHeight="1">
      <c r="B146" s="183"/>
      <c r="C146" s="183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38"/>
    </row>
    <row r="147" spans="2:17" ht="12.75" customHeight="1">
      <c r="B147" s="183"/>
      <c r="C147" s="183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38"/>
    </row>
    <row r="148" spans="2:17" ht="12.75" customHeight="1">
      <c r="B148" s="183"/>
      <c r="C148" s="183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38"/>
    </row>
    <row r="149" spans="2:17" ht="12.75" customHeight="1">
      <c r="B149" s="183"/>
      <c r="C149" s="183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38"/>
    </row>
    <row r="150" spans="2:17" ht="12.75" customHeight="1">
      <c r="B150" s="183"/>
      <c r="C150" s="183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38"/>
    </row>
    <row r="151" spans="2:17" ht="12.75" customHeight="1">
      <c r="B151" s="183"/>
      <c r="C151" s="183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38"/>
    </row>
    <row r="152" spans="2:17" ht="12.75" customHeight="1">
      <c r="B152" s="183"/>
      <c r="C152" s="183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38"/>
    </row>
    <row r="153" spans="2:17" ht="12.75" customHeight="1">
      <c r="B153" s="183"/>
      <c r="C153" s="183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38"/>
    </row>
    <row r="154" spans="2:17" ht="12.75" customHeight="1">
      <c r="B154" s="183"/>
      <c r="C154" s="183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38"/>
    </row>
    <row r="155" spans="2:17" ht="12.75" customHeight="1">
      <c r="B155" s="183"/>
      <c r="C155" s="183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38"/>
    </row>
    <row r="156" spans="2:17" ht="12.75" customHeight="1">
      <c r="B156" s="183"/>
      <c r="C156" s="183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38"/>
    </row>
    <row r="157" spans="2:17" ht="12.75" customHeight="1"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8"/>
      <c r="M157" s="138"/>
      <c r="N157" s="138"/>
      <c r="O157" s="138"/>
      <c r="P157" s="138"/>
      <c r="Q157" s="138"/>
    </row>
    <row r="158" spans="2:17" ht="12.75" customHeight="1"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8"/>
      <c r="M158" s="138"/>
      <c r="N158" s="138"/>
      <c r="O158" s="138"/>
      <c r="P158" s="138"/>
      <c r="Q158" s="138"/>
    </row>
    <row r="159" spans="2:17" ht="12.75" customHeight="1"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8"/>
      <c r="M159" s="138"/>
      <c r="N159" s="138"/>
      <c r="O159" s="138"/>
      <c r="P159" s="138"/>
      <c r="Q159" s="138"/>
    </row>
  </sheetData>
  <mergeCells count="2">
    <mergeCell ref="B65:P156"/>
    <mergeCell ref="B16:Q16"/>
  </mergeCells>
  <conditionalFormatting sqref="A2:Q2">
    <cfRule type="cellIs" dxfId="56" priority="10" operator="greaterThan">
      <formula>0</formula>
    </cfRule>
  </conditionalFormatting>
  <conditionalFormatting sqref="B39:C48 D39:Q58">
    <cfRule type="cellIs" dxfId="55" priority="14" operator="lessThan">
      <formula>0</formula>
    </cfRule>
  </conditionalFormatting>
  <conditionalFormatting sqref="C18:C29">
    <cfRule type="cellIs" dxfId="54" priority="15" operator="greaterThan">
      <formula>0.06</formula>
    </cfRule>
  </conditionalFormatting>
  <conditionalFormatting sqref="D3:D14">
    <cfRule type="expression" dxfId="53" priority="11">
      <formula>E3&lt;0</formula>
    </cfRule>
    <cfRule type="expression" dxfId="52" priority="12">
      <formula>E3&gt;0</formula>
    </cfRule>
  </conditionalFormatting>
  <conditionalFormatting sqref="E3:F14">
    <cfRule type="cellIs" dxfId="51" priority="6" operator="greaterThan">
      <formula>0</formula>
    </cfRule>
    <cfRule type="cellIs" dxfId="50" priority="7" operator="equal">
      <formula>0</formula>
    </cfRule>
  </conditionalFormatting>
  <conditionalFormatting sqref="E2:G2 H2:H14">
    <cfRule type="cellIs" dxfId="49" priority="9" operator="greaterThan">
      <formula>0</formula>
    </cfRule>
  </conditionalFormatting>
  <conditionalFormatting sqref="E2:H14">
    <cfRule type="cellIs" dxfId="48" priority="3" operator="lessThan">
      <formula>0</formula>
    </cfRule>
  </conditionalFormatting>
  <conditionalFormatting sqref="I3:K14">
    <cfRule type="cellIs" dxfId="47" priority="13" operator="equal">
      <formula>0</formula>
    </cfRule>
  </conditionalFormatting>
  <conditionalFormatting sqref="M3 M10">
    <cfRule type="cellIs" dxfId="46" priority="17" operator="lessThan">
      <formula>0.15</formula>
    </cfRule>
  </conditionalFormatting>
  <conditionalFormatting sqref="M4:M6 M8 M12 M14">
    <cfRule type="cellIs" dxfId="45" priority="18" operator="lessThan">
      <formula>0.05</formula>
    </cfRule>
  </conditionalFormatting>
  <conditionalFormatting sqref="M6:M7 M9">
    <cfRule type="cellIs" dxfId="44" priority="19" operator="lessThan">
      <formula>0.075</formula>
    </cfRule>
  </conditionalFormatting>
  <conditionalFormatting sqref="M11">
    <cfRule type="cellIs" dxfId="43" priority="2" operator="lessThan">
      <formula>0.125</formula>
    </cfRule>
  </conditionalFormatting>
  <conditionalFormatting sqref="M13">
    <cfRule type="cellIs" dxfId="42" priority="4" operator="lessThan">
      <formula>0.15</formula>
    </cfRule>
  </conditionalFormatting>
  <conditionalFormatting sqref="N3:N14">
    <cfRule type="cellIs" dxfId="41" priority="1" operator="lessThan">
      <formula>1</formula>
    </cfRule>
  </conditionalFormatting>
  <conditionalFormatting sqref="Q3:Q14">
    <cfRule type="expression" dxfId="40" priority="16">
      <formula>N3&lt;1</formula>
    </cfRule>
  </conditionalFormatting>
  <hyperlinks>
    <hyperlink ref="M36" r:id="rId1" display="http://aroldobatista.blogspot.com.br/2015/05/planilha-basica-para-investimento-em.html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customProperties>
    <customPr name="LastActive" r:id="rId3"/>
  </customPropertie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E30"/>
  <sheetViews>
    <sheetView workbookViewId="0"/>
  </sheetViews>
  <sheetFormatPr defaultColWidth="17.28515625" defaultRowHeight="15.75" customHeight="1"/>
  <cols>
    <col min="1" max="1" width="10.140625" customWidth="1"/>
    <col min="2" max="2" width="9.7109375" customWidth="1"/>
    <col min="3" max="3" width="9.85546875" customWidth="1"/>
    <col min="4" max="4" width="9.42578125" customWidth="1"/>
    <col min="5" max="5" width="10.42578125" customWidth="1"/>
  </cols>
  <sheetData>
    <row r="1" spans="1:5" ht="12.75" customHeight="1">
      <c r="A1" s="2">
        <f t="shared" ref="A1:A2" ca="1" si="0">NOW()</f>
        <v>45511.687532986114</v>
      </c>
      <c r="B1" s="4" t="s">
        <v>2</v>
      </c>
      <c r="C1" s="5" t="str">
        <f t="shared" ref="C1:C2" ca="1" si="1">IFERROR(__xludf.DUMMYFUNCTION("GoogleFinance(B1,""change"")"),"205.26")</f>
        <v>205.26</v>
      </c>
      <c r="D1" s="7" t="e">
        <f ca="1">C1/E1</f>
        <v>#VALUE!</v>
      </c>
      <c r="E1" s="9" t="str">
        <f ca="1">IFERROR(__xludf.DUMMYFUNCTION("GOOGLEFINANCE(""ibov"")"),"60,459.60")</f>
        <v>60,459.60</v>
      </c>
    </row>
    <row r="2" spans="1:5" ht="12.75" customHeight="1">
      <c r="A2" s="11">
        <f t="shared" ca="1" si="0"/>
        <v>45511.687532986114</v>
      </c>
      <c r="B2" s="12" t="s">
        <v>16</v>
      </c>
      <c r="C2" s="9" t="str">
        <f t="shared" ca="1" si="1"/>
        <v>205.26</v>
      </c>
      <c r="D2" s="7" t="str">
        <f ca="1">IFERROR(__xludf.DUMMYFUNCTION("GoogleFinance(B2,""changepct"")/100"),"0.40%")</f>
        <v>0.40%</v>
      </c>
      <c r="E2" s="9" t="str">
        <f ca="1">IFERROR(__xludf.DUMMYFUNCTION("GOOGLEFINANCE(B2)"),"18,869.47")</f>
        <v>18,869.47</v>
      </c>
    </row>
    <row r="3" spans="1:5" ht="12.75" customHeight="1">
      <c r="A3" s="11"/>
      <c r="B3" s="12" t="s">
        <v>17</v>
      </c>
      <c r="C3" s="13" t="str">
        <f ca="1">IFERROR(__xludf.DUMMYFUNCTION("GOOGLEFINANCE(""usdbrl"")"),"3.23")</f>
        <v>3.23</v>
      </c>
      <c r="D3" s="14" t="s">
        <v>18</v>
      </c>
      <c r="E3" s="16" t="e">
        <f ca="1">C29/C3</f>
        <v>#VALUE!</v>
      </c>
    </row>
    <row r="4" spans="1:5" ht="12.75" customHeight="1">
      <c r="A4" s="18" t="s">
        <v>19</v>
      </c>
      <c r="B4" s="20" t="s">
        <v>20</v>
      </c>
      <c r="C4" s="18" t="s">
        <v>21</v>
      </c>
      <c r="D4" s="18" t="s">
        <v>22</v>
      </c>
      <c r="E4" s="18" t="s">
        <v>15</v>
      </c>
    </row>
    <row r="5" spans="1:5" ht="12.75" customHeight="1">
      <c r="A5" s="21" t="str">
        <f>P!A3</f>
        <v>BBAS3</v>
      </c>
      <c r="B5" s="23" t="str">
        <f ca="1">IFERROR(__xludf.DUMMYFUNCTION("GOOGLEFINANCE(A5,""changepct"")/100"),"2.42%")</f>
        <v>2.42%</v>
      </c>
      <c r="C5" s="25" t="str">
        <f ca="1">IFERROR(__xludf.DUMMYFUNCTION("GOOGLEFINANCE(A5)"),"24.51")</f>
        <v>24.51</v>
      </c>
      <c r="D5" s="27" t="e">
        <f ca="1">D6/E6</f>
        <v>#VALUE!</v>
      </c>
      <c r="E5" s="29" t="e">
        <f ca="1">P!C3</f>
        <v>#VALUE!</v>
      </c>
    </row>
    <row r="6" spans="1:5" ht="12.75" customHeight="1">
      <c r="A6" s="31" t="e">
        <f ca="1">P!B3</f>
        <v>#VALUE!</v>
      </c>
      <c r="B6" s="32" t="e">
        <f ca="1">C6*A6</f>
        <v>#VALUE!</v>
      </c>
      <c r="C6" s="33" t="str">
        <f ca="1">IFERROR(__xludf.DUMMYFUNCTION("GoogleFinance(A5,""change"")"),"0.58")</f>
        <v>0.58</v>
      </c>
      <c r="D6" s="34" t="e">
        <f ca="1">P!G3</f>
        <v>#VALUE!</v>
      </c>
      <c r="E6" s="36" t="e">
        <f ca="1">A6*E5</f>
        <v>#VALUE!</v>
      </c>
    </row>
    <row r="7" spans="1:5" ht="12.75" customHeight="1">
      <c r="A7" s="21" t="str">
        <f>P!A4</f>
        <v>BBDC4</v>
      </c>
      <c r="B7" s="23" t="str">
        <f ca="1">IFERROR(__xludf.DUMMYFUNCTION("GOOGLEFINANCE(A7,""changepct"")/100"),"-0.39%")</f>
        <v>-0.39%</v>
      </c>
      <c r="C7" s="25" t="str">
        <f ca="1">IFERROR(__xludf.DUMMYFUNCTION("GOOGLEFINANCE(A7)"),"30.32")</f>
        <v>30.32</v>
      </c>
      <c r="D7" s="27" t="e">
        <f ca="1">D8/E8</f>
        <v>#VALUE!</v>
      </c>
      <c r="E7" s="29" t="e">
        <f ca="1">P!C4</f>
        <v>#VALUE!</v>
      </c>
    </row>
    <row r="8" spans="1:5" ht="12.75" customHeight="1">
      <c r="A8" s="31" t="e">
        <f ca="1">P!B4</f>
        <v>#VALUE!</v>
      </c>
      <c r="B8" s="32" t="e">
        <f ca="1">C8*A8</f>
        <v>#VALUE!</v>
      </c>
      <c r="C8" s="33" t="str">
        <f ca="1">IFERROR(__xludf.DUMMYFUNCTION("GoogleFinance(A7,""change"")"),"-0.12")</f>
        <v>-0.12</v>
      </c>
      <c r="D8" s="34" t="e">
        <f ca="1">P!G4</f>
        <v>#VALUE!</v>
      </c>
      <c r="E8" s="36" t="e">
        <f ca="1">A8*E7</f>
        <v>#VALUE!</v>
      </c>
    </row>
    <row r="9" spans="1:5" ht="12.75" customHeight="1">
      <c r="A9" s="21" t="str">
        <f>P!A5</f>
        <v>BBSE3</v>
      </c>
      <c r="B9" s="23" t="str">
        <f ca="1">IFERROR(__xludf.DUMMYFUNCTION("GOOGLEFINANCE(A9,""changepct"")/100"),"-0.17%")</f>
        <v>-0.17%</v>
      </c>
      <c r="C9" s="25" t="str">
        <f ca="1">IFERROR(__xludf.DUMMYFUNCTION("GOOGLEFINANCE(A9)"),"30.06")</f>
        <v>30.06</v>
      </c>
      <c r="D9" s="27" t="e">
        <f ca="1">D10/E10</f>
        <v>#VALUE!</v>
      </c>
      <c r="E9" s="29" t="e">
        <f ca="1">P!C5</f>
        <v>#VALUE!</v>
      </c>
    </row>
    <row r="10" spans="1:5" ht="12.75" customHeight="1">
      <c r="A10" s="31" t="e">
        <f ca="1">P!B5</f>
        <v>#VALUE!</v>
      </c>
      <c r="B10" s="32" t="e">
        <f ca="1">C10*A10</f>
        <v>#VALUE!</v>
      </c>
      <c r="C10" s="33" t="str">
        <f ca="1">IFERROR(__xludf.DUMMYFUNCTION("GoogleFinance(A9,""change"")"),"-0.05")</f>
        <v>-0.05</v>
      </c>
      <c r="D10" s="34" t="e">
        <f ca="1">P!G5</f>
        <v>#VALUE!</v>
      </c>
      <c r="E10" s="36" t="e">
        <f ca="1">A10*E9</f>
        <v>#VALUE!</v>
      </c>
    </row>
    <row r="11" spans="1:5" ht="12.75" customHeight="1">
      <c r="A11" s="21" t="str">
        <f>P!A6</f>
        <v>BVMF3</v>
      </c>
      <c r="B11" s="23" t="str">
        <f ca="1">IFERROR(__xludf.DUMMYFUNCTION("GOOGLEFINANCE(A11,""changepct"")/100"),"0.40%")</f>
        <v>0.40%</v>
      </c>
      <c r="C11" s="25" t="str">
        <f ca="1">IFERROR(__xludf.DUMMYFUNCTION("GOOGLEFINANCE(A11)"),"17.51")</f>
        <v>17.51</v>
      </c>
      <c r="D11" s="27" t="e">
        <f ca="1">D12/E12</f>
        <v>#VALUE!</v>
      </c>
      <c r="E11" s="29" t="e">
        <f ca="1">P!C6</f>
        <v>#VALUE!</v>
      </c>
    </row>
    <row r="12" spans="1:5" ht="12.75" customHeight="1">
      <c r="A12" s="31" t="e">
        <f ca="1">P!B6</f>
        <v>#VALUE!</v>
      </c>
      <c r="B12" s="32" t="e">
        <f ca="1">C12*A12</f>
        <v>#VALUE!</v>
      </c>
      <c r="C12" s="33" t="str">
        <f ca="1">IFERROR(__xludf.DUMMYFUNCTION("GoogleFinance(A11,""change"")"),"0.07")</f>
        <v>0.07</v>
      </c>
      <c r="D12" s="34" t="e">
        <f ca="1">P!G6</f>
        <v>#VALUE!</v>
      </c>
      <c r="E12" s="36" t="e">
        <f ca="1">A12*E11</f>
        <v>#VALUE!</v>
      </c>
    </row>
    <row r="13" spans="1:5" ht="12.75" customHeight="1">
      <c r="A13" s="21" t="str">
        <f>P!A7</f>
        <v>CGAS5</v>
      </c>
      <c r="B13" s="23" t="str">
        <f ca="1">IFERROR(__xludf.DUMMYFUNCTION("GOOGLEFINANCE(A13,""changepct"")/100"),"0.19%")</f>
        <v>0.19%</v>
      </c>
      <c r="C13" s="25" t="str">
        <f ca="1">IFERROR(__xludf.DUMMYFUNCTION("GOOGLEFINANCE(A13)"),"52.36")</f>
        <v>52.36</v>
      </c>
      <c r="D13" s="27" t="e">
        <f ca="1">D14/E14</f>
        <v>#VALUE!</v>
      </c>
      <c r="E13" s="29" t="e">
        <f ca="1">P!C7</f>
        <v>#VALUE!</v>
      </c>
    </row>
    <row r="14" spans="1:5" ht="12.75" customHeight="1">
      <c r="A14" s="31" t="e">
        <f ca="1">P!B7</f>
        <v>#VALUE!</v>
      </c>
      <c r="B14" s="32" t="e">
        <f ca="1">C14*A14</f>
        <v>#VALUE!</v>
      </c>
      <c r="C14" s="33" t="str">
        <f ca="1">IFERROR(__xludf.DUMMYFUNCTION("GoogleFinance(A13,""change"")"),"0.10")</f>
        <v>0.10</v>
      </c>
      <c r="D14" s="34" t="e">
        <f ca="1">P!G7</f>
        <v>#VALUE!</v>
      </c>
      <c r="E14" s="36" t="e">
        <f ca="1">A14*E13</f>
        <v>#VALUE!</v>
      </c>
    </row>
    <row r="15" spans="1:5" ht="12.75" customHeight="1">
      <c r="A15" s="21" t="str">
        <f>P!A8</f>
        <v>CIEL3</v>
      </c>
      <c r="B15" s="23" t="str">
        <f ca="1">IFERROR(__xludf.DUMMYFUNCTION("GOOGLEFINANCE(A15,""changepct"")/100"),"-1.20%")</f>
        <v>-1.20%</v>
      </c>
      <c r="C15" s="25" t="str">
        <f ca="1">IFERROR(__xludf.DUMMYFUNCTION("GOOGLEFINANCE(A15)"),"32.81")</f>
        <v>32.81</v>
      </c>
      <c r="D15" s="27" t="e">
        <f ca="1">D16/E16</f>
        <v>#VALUE!</v>
      </c>
      <c r="E15" s="29" t="e">
        <f ca="1">P!C8</f>
        <v>#VALUE!</v>
      </c>
    </row>
    <row r="16" spans="1:5" ht="12.75" customHeight="1">
      <c r="A16" s="31" t="e">
        <f ca="1">P!B8</f>
        <v>#VALUE!</v>
      </c>
      <c r="B16" s="32" t="e">
        <f ca="1">C16*A16</f>
        <v>#VALUE!</v>
      </c>
      <c r="C16" s="33" t="str">
        <f ca="1">IFERROR(__xludf.DUMMYFUNCTION("GoogleFinance(A15,""change"")"),"-0.40")</f>
        <v>-0.40</v>
      </c>
      <c r="D16" s="34" t="e">
        <f ca="1">P!G8</f>
        <v>#VALUE!</v>
      </c>
      <c r="E16" s="36" t="e">
        <f ca="1">A16*E15</f>
        <v>#VALUE!</v>
      </c>
    </row>
    <row r="17" spans="1:5" ht="12.75" customHeight="1">
      <c r="A17" s="21" t="str">
        <f>P!A9</f>
        <v>CMIG3</v>
      </c>
      <c r="B17" s="23" t="str">
        <f ca="1">IFERROR(__xludf.DUMMYFUNCTION("GOOGLEFINANCE(A17,""changepct"")/100"),"-1.12%")</f>
        <v>-1.12%</v>
      </c>
      <c r="C17" s="25" t="str">
        <f ca="1">IFERROR(__xludf.DUMMYFUNCTION("GOOGLEFINANCE(A17)"),"8.81")</f>
        <v>8.81</v>
      </c>
      <c r="D17" s="27" t="e">
        <f ca="1">D18/E18</f>
        <v>#VALUE!</v>
      </c>
      <c r="E17" s="29" t="e">
        <f ca="1">P!C9</f>
        <v>#VALUE!</v>
      </c>
    </row>
    <row r="18" spans="1:5" ht="12.75" customHeight="1">
      <c r="A18" s="31" t="e">
        <f ca="1">P!B9</f>
        <v>#VALUE!</v>
      </c>
      <c r="B18" s="32" t="e">
        <f ca="1">C18*A18</f>
        <v>#VALUE!</v>
      </c>
      <c r="C18" s="33" t="str">
        <f ca="1">IFERROR(__xludf.DUMMYFUNCTION("GoogleFinance(A17,""change"")"),"-0.10")</f>
        <v>-0.10</v>
      </c>
      <c r="D18" s="34" t="e">
        <f ca="1">P!G9</f>
        <v>#VALUE!</v>
      </c>
      <c r="E18" s="36" t="e">
        <f ca="1">A18*E17</f>
        <v>#VALUE!</v>
      </c>
    </row>
    <row r="19" spans="1:5" ht="12.75" customHeight="1">
      <c r="A19" s="21" t="str">
        <f>P!A10</f>
        <v>ELPL4</v>
      </c>
      <c r="B19" s="23" t="str">
        <f ca="1">IFERROR(__xludf.DUMMYFUNCTION("GOOGLEFINANCE(A19,""changepct"")/100"),"-1.53%")</f>
        <v>-1.53%</v>
      </c>
      <c r="C19" s="25" t="str">
        <f ca="1">IFERROR(__xludf.DUMMYFUNCTION("GOOGLEFINANCE(A19)"),"10.30")</f>
        <v>10.30</v>
      </c>
      <c r="D19" s="27" t="e">
        <f ca="1">D20/E20</f>
        <v>#VALUE!</v>
      </c>
      <c r="E19" s="29" t="e">
        <f ca="1">P!C10</f>
        <v>#VALUE!</v>
      </c>
    </row>
    <row r="20" spans="1:5" ht="12.75" customHeight="1">
      <c r="A20" s="31" t="e">
        <f ca="1">P!B10</f>
        <v>#VALUE!</v>
      </c>
      <c r="B20" s="32" t="e">
        <f ca="1">C20*A20</f>
        <v>#VALUE!</v>
      </c>
      <c r="C20" s="33" t="str">
        <f ca="1">IFERROR(__xludf.DUMMYFUNCTION("GoogleFinance(A19,""change"")"),"-0.16")</f>
        <v>-0.16</v>
      </c>
      <c r="D20" s="34" t="e">
        <f ca="1">P!G10</f>
        <v>#VALUE!</v>
      </c>
      <c r="E20" s="36" t="e">
        <f ca="1">A20*E19</f>
        <v>#VALUE!</v>
      </c>
    </row>
    <row r="21" spans="1:5" ht="12.75" customHeight="1">
      <c r="A21" s="21" t="str">
        <f>P!A11</f>
        <v>PETR4</v>
      </c>
      <c r="B21" s="23" t="str">
        <f ca="1">IFERROR(__xludf.DUMMYFUNCTION("GOOGLEFINANCE(A21,""changepct"")/100"),"2.88%")</f>
        <v>2.88%</v>
      </c>
      <c r="C21" s="25" t="str">
        <f ca="1">IFERROR(__xludf.DUMMYFUNCTION("GOOGLEFINANCE(A21)"),"15.00")</f>
        <v>15.00</v>
      </c>
      <c r="D21" s="27" t="e">
        <f ca="1">D22/E22</f>
        <v>#VALUE!</v>
      </c>
      <c r="E21" s="29" t="e">
        <f ca="1">P!C11</f>
        <v>#VALUE!</v>
      </c>
    </row>
    <row r="22" spans="1:5" ht="12.75" customHeight="1">
      <c r="A22" s="31" t="e">
        <f ca="1">P!B11</f>
        <v>#VALUE!</v>
      </c>
      <c r="B22" s="32" t="e">
        <f ca="1">C22*A22</f>
        <v>#VALUE!</v>
      </c>
      <c r="C22" s="33" t="str">
        <f ca="1">IFERROR(__xludf.DUMMYFUNCTION("GoogleFinance(A21,""change"")"),"0.42")</f>
        <v>0.42</v>
      </c>
      <c r="D22" s="34" t="e">
        <f ca="1">P!G11</f>
        <v>#VALUE!</v>
      </c>
      <c r="E22" s="36" t="e">
        <f ca="1">A22*E21</f>
        <v>#VALUE!</v>
      </c>
    </row>
    <row r="23" spans="1:5" ht="12.75" customHeight="1">
      <c r="A23" s="21" t="str">
        <f>P!A12</f>
        <v>PRML3</v>
      </c>
      <c r="B23" s="23" t="str">
        <f ca="1">IFERROR(__xludf.DUMMYFUNCTION("GOOGLEFINANCE(A23,""changepct"")/100"),"0.58%")</f>
        <v>0.58%</v>
      </c>
      <c r="C23" s="25" t="str">
        <f ca="1">IFERROR(__xludf.DUMMYFUNCTION("GOOGLEFINANCE(A23)"),"6.91")</f>
        <v>6.91</v>
      </c>
      <c r="D23" s="27" t="e">
        <f ca="1">D24/E24</f>
        <v>#VALUE!</v>
      </c>
      <c r="E23" s="29" t="e">
        <f ca="1">P!C12</f>
        <v>#VALUE!</v>
      </c>
    </row>
    <row r="24" spans="1:5" ht="12.75" customHeight="1">
      <c r="A24" s="31" t="e">
        <f ca="1">P!B12</f>
        <v>#VALUE!</v>
      </c>
      <c r="B24" s="32" t="e">
        <f ca="1">C24*A24</f>
        <v>#VALUE!</v>
      </c>
      <c r="C24" s="33" t="str">
        <f ca="1">IFERROR(__xludf.DUMMYFUNCTION("GoogleFinance(A23,""change"")"),"0.04")</f>
        <v>0.04</v>
      </c>
      <c r="D24" s="34" t="e">
        <f ca="1">P!G12</f>
        <v>#VALUE!</v>
      </c>
      <c r="E24" s="36" t="e">
        <f ca="1">A24*E23</f>
        <v>#VALUE!</v>
      </c>
    </row>
    <row r="25" spans="1:5" ht="12.75" customHeight="1">
      <c r="A25" s="21" t="str">
        <f>P!A13</f>
        <v>PSSA3</v>
      </c>
      <c r="B25" s="23" t="str">
        <f ca="1">IFERROR(__xludf.DUMMYFUNCTION("GOOGLEFINANCE(A25,""changepct"")/100"),"1.46%")</f>
        <v>1.46%</v>
      </c>
      <c r="C25" s="25" t="str">
        <f ca="1">IFERROR(__xludf.DUMMYFUNCTION("GOOGLEFINANCE(A25)"),"30.60")</f>
        <v>30.60</v>
      </c>
      <c r="D25" s="27" t="e">
        <f ca="1">D26/E26</f>
        <v>#VALUE!</v>
      </c>
      <c r="E25" s="29" t="e">
        <f ca="1">P!C13</f>
        <v>#VALUE!</v>
      </c>
    </row>
    <row r="26" spans="1:5" ht="12.75" customHeight="1">
      <c r="A26" s="31" t="e">
        <f ca="1">P!B13</f>
        <v>#VALUE!</v>
      </c>
      <c r="B26" s="32" t="e">
        <f ca="1">C26*A26</f>
        <v>#VALUE!</v>
      </c>
      <c r="C26" s="33" t="str">
        <f ca="1">IFERROR(__xludf.DUMMYFUNCTION("GoogleFinance(A25,""change"")"),"0.44")</f>
        <v>0.44</v>
      </c>
      <c r="D26" s="34" t="e">
        <f ca="1">P!G13</f>
        <v>#VALUE!</v>
      </c>
      <c r="E26" s="36" t="e">
        <f ca="1">A26*E25</f>
        <v>#VALUE!</v>
      </c>
    </row>
    <row r="27" spans="1:5" ht="12.75" customHeight="1">
      <c r="A27" s="21" t="str">
        <f>P!A14</f>
        <v>TIMP3</v>
      </c>
      <c r="B27" s="23" t="str">
        <f ca="1">IFERROR(__xludf.DUMMYFUNCTION("GOOGLEFINANCE(A27,""changepct"")/100"),"-1.35%")</f>
        <v>-1.35%</v>
      </c>
      <c r="C27" s="25" t="str">
        <f ca="1">IFERROR(__xludf.DUMMYFUNCTION("GOOGLEFINANCE(A27)"),"8.05")</f>
        <v>8.05</v>
      </c>
      <c r="D27" s="27" t="e">
        <f ca="1">D28/E28</f>
        <v>#VALUE!</v>
      </c>
      <c r="E27" s="29" t="e">
        <f ca="1">P!C14</f>
        <v>#VALUE!</v>
      </c>
    </row>
    <row r="28" spans="1:5" ht="12.75" customHeight="1">
      <c r="A28" s="31" t="e">
        <f ca="1">P!B14</f>
        <v>#VALUE!</v>
      </c>
      <c r="B28" s="32" t="e">
        <f ca="1">C28*A28</f>
        <v>#VALUE!</v>
      </c>
      <c r="C28" s="33" t="str">
        <f ca="1">IFERROR(__xludf.DUMMYFUNCTION("GoogleFinance(A27,""change"")"),"-0.11")</f>
        <v>-0.11</v>
      </c>
      <c r="D28" s="34" t="e">
        <f ca="1">P!G14</f>
        <v>#VALUE!</v>
      </c>
      <c r="E28" s="36" t="e">
        <f ca="1">A28*E27</f>
        <v>#VALUE!</v>
      </c>
    </row>
    <row r="29" spans="1:5" ht="12.75" customHeight="1">
      <c r="A29" s="69" t="s">
        <v>37</v>
      </c>
      <c r="B29" s="71" t="e">
        <f ca="1">B6+B8+B12+B16+B14+B20+B22+B24+B26+B28</f>
        <v>#VALUE!</v>
      </c>
      <c r="C29" s="73" t="e">
        <f ca="1">D29+E29</f>
        <v>#VALUE!</v>
      </c>
      <c r="D29" s="71" t="e">
        <f t="shared" ref="D29:E29" ca="1" si="2">D6+D8+D12+D16+D14+D20+D22+D24+D26+D28</f>
        <v>#VALUE!</v>
      </c>
      <c r="E29" s="74" t="e">
        <f t="shared" ca="1" si="2"/>
        <v>#VALUE!</v>
      </c>
    </row>
    <row r="30" spans="1:5" ht="12.75" customHeight="1">
      <c r="A30" s="69" t="s">
        <v>38</v>
      </c>
      <c r="B30" s="76" t="e">
        <f ca="1">B29/C29</f>
        <v>#VALUE!</v>
      </c>
      <c r="C30" s="77" t="e">
        <f ca="1">C29/E29</f>
        <v>#VALUE!</v>
      </c>
      <c r="D30" s="77" t="e">
        <f ca="1">P!H2</f>
        <v>#VALUE!</v>
      </c>
      <c r="E30" s="81">
        <v>1</v>
      </c>
    </row>
  </sheetData>
  <conditionalFormatting sqref="B5 B7 B9 B11 B13 B15 B17 B19 B21 B23 B25 B27">
    <cfRule type="cellIs" dxfId="39" priority="12" operator="greaterThan">
      <formula>0</formula>
    </cfRule>
    <cfRule type="cellIs" dxfId="38" priority="13" operator="lessThan">
      <formula>0</formula>
    </cfRule>
    <cfRule type="cellIs" dxfId="37" priority="14" operator="equal">
      <formula>0</formula>
    </cfRule>
  </conditionalFormatting>
  <conditionalFormatting sqref="B6 B8 B10 B12 B14 B16 B18 B20 B22 B24 B26 B28">
    <cfRule type="cellIs" dxfId="36" priority="20" operator="equal">
      <formula>0</formula>
    </cfRule>
    <cfRule type="cellIs" dxfId="35" priority="21" operator="greaterThan">
      <formula>0</formula>
    </cfRule>
    <cfRule type="cellIs" dxfId="34" priority="22" operator="lessThan">
      <formula>0</formula>
    </cfRule>
  </conditionalFormatting>
  <conditionalFormatting sqref="B30:D30">
    <cfRule type="cellIs" dxfId="33" priority="8" operator="greaterThan">
      <formula>1</formula>
    </cfRule>
    <cfRule type="cellIs" dxfId="32" priority="9" operator="lessThan">
      <formula>1</formula>
    </cfRule>
  </conditionalFormatting>
  <conditionalFormatting sqref="C2">
    <cfRule type="expression" dxfId="31" priority="10">
      <formula>D2&gt;0</formula>
    </cfRule>
    <cfRule type="expression" dxfId="30" priority="11">
      <formula>D2&lt;0</formula>
    </cfRule>
  </conditionalFormatting>
  <conditionalFormatting sqref="C5 C7 C9 C11 C13 C15 C17 C19 C21 C23 C25 C27">
    <cfRule type="expression" dxfId="29" priority="15">
      <formula>B5&lt;0</formula>
    </cfRule>
    <cfRule type="expression" dxfId="28" priority="16">
      <formula>B5&gt;0</formula>
    </cfRule>
  </conditionalFormatting>
  <conditionalFormatting sqref="C6 C8 C10 C12 C14 C16 C18 C20 C22 C24 C26 C28">
    <cfRule type="cellIs" dxfId="27" priority="23" operator="lessThan">
      <formula>0</formula>
    </cfRule>
    <cfRule type="cellIs" dxfId="26" priority="24" operator="greaterThan">
      <formula>0</formula>
    </cfRule>
  </conditionalFormatting>
  <conditionalFormatting sqref="D5 D7 D9 D11 D13 D15 D17 D19 D21 D23 D25 D27">
    <cfRule type="cellIs" dxfId="25" priority="17" operator="greaterThan">
      <formula>0</formula>
    </cfRule>
    <cfRule type="cellIs" dxfId="24" priority="18" operator="lessThan">
      <formula>0</formula>
    </cfRule>
    <cfRule type="cellIs" dxfId="23" priority="19" operator="equal">
      <formula>0</formula>
    </cfRule>
  </conditionalFormatting>
  <conditionalFormatting sqref="D6 D8 D10 D12 D14 D16 D18 D20 D22 D24 D26 D28">
    <cfRule type="cellIs" dxfId="22" priority="25" operator="greaterThan">
      <formula>0</formula>
    </cfRule>
    <cfRule type="cellIs" dxfId="21" priority="26" operator="lessThan">
      <formula>0</formula>
    </cfRule>
  </conditionalFormatting>
  <conditionalFormatting sqref="E1:E2">
    <cfRule type="expression" dxfId="20" priority="1">
      <formula>C1&gt;0</formula>
    </cfRule>
    <cfRule type="expression" dxfId="19" priority="2">
      <formula>C1&lt;0</formula>
    </cfRule>
  </conditionalFormatting>
  <conditionalFormatting sqref="E2:E3 C1:D3 B29 D29">
    <cfRule type="cellIs" dxfId="18" priority="6" operator="lessThan">
      <formula>0</formula>
    </cfRule>
    <cfRule type="cellIs" dxfId="17" priority="7" operator="greaterThan">
      <formula>0</formula>
    </cfRule>
  </conditionalFormatting>
  <conditionalFormatting sqref="E4">
    <cfRule type="cellIs" dxfId="16" priority="3" stopIfTrue="1" operator="equal">
      <formula>0</formula>
    </cfRule>
    <cfRule type="cellIs" dxfId="15" priority="4" stopIfTrue="1" operator="lessThan">
      <formula>0</formula>
    </cfRule>
    <cfRule type="cellIs" dxfId="14" priority="5" stopIfTrue="1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3"/>
  <dimension ref="A1:P30"/>
  <sheetViews>
    <sheetView workbookViewId="0">
      <pane ySplit="2" topLeftCell="A3" activePane="bottomLeft" state="frozen"/>
      <selection pane="bottomLeft" activeCell="O2" sqref="O2"/>
    </sheetView>
  </sheetViews>
  <sheetFormatPr defaultColWidth="17.28515625" defaultRowHeight="15.75" customHeight="1"/>
  <cols>
    <col min="1" max="1" width="15.42578125" customWidth="1"/>
    <col min="2" max="2" width="10.5703125" customWidth="1"/>
    <col min="3" max="3" width="11" customWidth="1"/>
    <col min="4" max="4" width="9.42578125" customWidth="1"/>
    <col min="5" max="6" width="11" customWidth="1"/>
    <col min="7" max="7" width="12.85546875" customWidth="1"/>
    <col min="8" max="8" width="11.85546875" customWidth="1"/>
    <col min="9" max="9" width="18.5703125" customWidth="1"/>
    <col min="10" max="10" width="12" customWidth="1"/>
    <col min="11" max="11" width="12.42578125" customWidth="1"/>
    <col min="12" max="12" width="13.140625" customWidth="1"/>
    <col min="13" max="13" width="12.140625" customWidth="1"/>
    <col min="14" max="14" width="11.85546875" customWidth="1"/>
    <col min="15" max="16" width="12.5703125" customWidth="1"/>
  </cols>
  <sheetData>
    <row r="1" spans="1:16" ht="12.75" customHeight="1">
      <c r="A1" s="1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/>
    </row>
    <row r="2" spans="1:16" ht="12.75" customHeight="1">
      <c r="A2" s="6" t="str">
        <f ca="1">IFERROR(__xludf.DUMMYFUNCTION("GOOGLEFINANCE(A1)"),"R$ 24.51")</f>
        <v>R$ 24.51</v>
      </c>
      <c r="B2" s="8" t="e">
        <f ca="1">B4+B16+B25+B29</f>
        <v>#VALUE!</v>
      </c>
      <c r="C2" s="10" t="e">
        <f ca="1">SUM((O2-G2-F2)/B2)</f>
        <v>#VALUE!</v>
      </c>
      <c r="D2" s="10" t="e">
        <f ca="1">O2/B2</f>
        <v>#VALUE!</v>
      </c>
      <c r="E2" s="10"/>
      <c r="F2" s="10">
        <f t="shared" ref="F2:O2" si="0">F4+F16+F25+F29</f>
        <v>35</v>
      </c>
      <c r="G2" s="10" t="e">
        <f t="shared" ca="1" si="0"/>
        <v>#VALUE!</v>
      </c>
      <c r="H2" s="10">
        <f t="shared" si="0"/>
        <v>108.40910584027</v>
      </c>
      <c r="I2" s="10">
        <f t="shared" si="0"/>
        <v>0</v>
      </c>
      <c r="J2" s="10">
        <f t="shared" si="0"/>
        <v>306.05744586044</v>
      </c>
      <c r="K2" s="10">
        <f t="shared" si="0"/>
        <v>0</v>
      </c>
      <c r="L2" s="10">
        <f t="shared" si="0"/>
        <v>0</v>
      </c>
      <c r="M2" s="10">
        <f t="shared" si="0"/>
        <v>0</v>
      </c>
      <c r="N2" s="10">
        <f t="shared" si="0"/>
        <v>451.71984360577994</v>
      </c>
      <c r="O2" s="10">
        <f t="shared" si="0"/>
        <v>5659.0013356999998</v>
      </c>
      <c r="P2" s="10"/>
    </row>
    <row r="3" spans="1:16" ht="12.75" customHeight="1">
      <c r="A3" s="15">
        <f ca="1">NOW()</f>
        <v>45511.687532986114</v>
      </c>
      <c r="B3" s="17" t="e">
        <f ca="1">O3/C3</f>
        <v>#VALUE!</v>
      </c>
      <c r="C3" s="17" t="str">
        <f ca="1">A2</f>
        <v>R$ 24.51</v>
      </c>
      <c r="D3" s="19"/>
      <c r="E3" s="19"/>
      <c r="F3" s="19">
        <v>5</v>
      </c>
      <c r="G3" s="22" t="e">
        <f ca="1">B3*C3*0.000345</f>
        <v>#VALUE!</v>
      </c>
      <c r="H3" s="19"/>
      <c r="I3" s="19"/>
      <c r="J3" s="19"/>
      <c r="K3" s="19"/>
      <c r="L3" s="19"/>
      <c r="M3" s="19"/>
      <c r="N3" s="19"/>
      <c r="O3" s="24">
        <v>0</v>
      </c>
      <c r="P3" s="24"/>
    </row>
    <row r="4" spans="1:16" ht="12.75" customHeight="1">
      <c r="A4" s="26" t="s">
        <v>23</v>
      </c>
      <c r="B4" s="28" t="e">
        <f t="shared" ref="B4:D4" ca="1" si="1">B3</f>
        <v>#VALUE!</v>
      </c>
      <c r="C4" s="30" t="str">
        <f t="shared" ca="1" si="1"/>
        <v>R$ 24.51</v>
      </c>
      <c r="D4" s="30">
        <f t="shared" si="1"/>
        <v>0</v>
      </c>
      <c r="E4" s="30"/>
      <c r="F4" s="30">
        <f t="shared" ref="F4:M4" si="2">SUM(F3)</f>
        <v>5</v>
      </c>
      <c r="G4" s="30" t="e">
        <f t="shared" ca="1" si="2"/>
        <v>#VALUE!</v>
      </c>
      <c r="H4" s="30">
        <f t="shared" si="2"/>
        <v>0</v>
      </c>
      <c r="I4" s="30">
        <f t="shared" si="2"/>
        <v>0</v>
      </c>
      <c r="J4" s="30">
        <f t="shared" si="2"/>
        <v>0</v>
      </c>
      <c r="K4" s="30">
        <f t="shared" si="2"/>
        <v>0</v>
      </c>
      <c r="L4" s="30">
        <f t="shared" si="2"/>
        <v>0</v>
      </c>
      <c r="M4" s="30">
        <f t="shared" si="2"/>
        <v>0</v>
      </c>
      <c r="N4" s="30">
        <f>SUM(N5:N15)</f>
        <v>225.85992180288997</v>
      </c>
      <c r="O4" s="30">
        <f>O3</f>
        <v>0</v>
      </c>
      <c r="P4" s="30"/>
    </row>
    <row r="5" spans="1:16" ht="12.75" customHeight="1">
      <c r="A5" s="15">
        <v>42065</v>
      </c>
      <c r="B5" s="35">
        <v>66</v>
      </c>
      <c r="C5" s="37">
        <v>23.67</v>
      </c>
      <c r="D5" s="38">
        <f>O5/B5</f>
        <v>23.753923725757577</v>
      </c>
      <c r="E5" s="39"/>
      <c r="F5" s="39">
        <v>5</v>
      </c>
      <c r="G5" s="22">
        <f t="shared" ref="G5:G15" si="3">B5*C5*0.000345</f>
        <v>0.5389659</v>
      </c>
      <c r="H5" s="39"/>
      <c r="I5" s="39"/>
      <c r="J5" s="39"/>
      <c r="K5" s="39"/>
      <c r="L5" s="39"/>
      <c r="M5" s="39"/>
      <c r="N5" s="38">
        <f t="shared" ref="N5:N13" si="4">H5+I5+J5+K5+L5</f>
        <v>0</v>
      </c>
      <c r="O5" s="24">
        <f t="shared" ref="O5:O15" si="5">B5*C5+F5+G5</f>
        <v>1567.7589659</v>
      </c>
      <c r="P5" s="24"/>
    </row>
    <row r="6" spans="1:16" ht="12.75" customHeight="1">
      <c r="A6" s="15">
        <v>42094</v>
      </c>
      <c r="B6" s="35"/>
      <c r="C6" s="37"/>
      <c r="D6" s="38"/>
      <c r="E6" s="39"/>
      <c r="F6" s="39"/>
      <c r="G6" s="22">
        <f t="shared" si="3"/>
        <v>0</v>
      </c>
      <c r="H6" s="39"/>
      <c r="I6" s="39"/>
      <c r="J6" s="39">
        <f>66*0.377</f>
        <v>24.882000000000001</v>
      </c>
      <c r="K6" s="39"/>
      <c r="L6" s="39"/>
      <c r="M6" s="39"/>
      <c r="N6" s="38">
        <f t="shared" si="4"/>
        <v>24.882000000000001</v>
      </c>
      <c r="O6" s="24">
        <f t="shared" si="5"/>
        <v>0</v>
      </c>
      <c r="P6" s="24"/>
    </row>
    <row r="7" spans="1:16" ht="12.75" customHeight="1">
      <c r="A7" s="15">
        <v>42098</v>
      </c>
      <c r="B7" s="35">
        <v>32</v>
      </c>
      <c r="C7" s="37">
        <v>26.44</v>
      </c>
      <c r="D7" s="38">
        <f>O7/B7</f>
        <v>26.6053718</v>
      </c>
      <c r="E7" s="39"/>
      <c r="F7" s="39">
        <v>5</v>
      </c>
      <c r="G7" s="22">
        <f t="shared" si="3"/>
        <v>0.29189759999999998</v>
      </c>
      <c r="H7" s="39"/>
      <c r="I7" s="39"/>
      <c r="J7" s="39"/>
      <c r="K7" s="39"/>
      <c r="L7" s="39"/>
      <c r="M7" s="39"/>
      <c r="N7" s="38">
        <f t="shared" si="4"/>
        <v>0</v>
      </c>
      <c r="O7" s="24">
        <f t="shared" si="5"/>
        <v>851.37189760000001</v>
      </c>
      <c r="P7" s="24"/>
    </row>
    <row r="8" spans="1:16" ht="12.75" customHeight="1">
      <c r="A8" s="15">
        <v>42153</v>
      </c>
      <c r="B8" s="35"/>
      <c r="C8" s="37"/>
      <c r="D8" s="38"/>
      <c r="E8" s="39"/>
      <c r="F8" s="39"/>
      <c r="G8" s="22">
        <f t="shared" si="3"/>
        <v>0</v>
      </c>
      <c r="H8" s="39">
        <f>98* 0.4511375655</f>
        <v>44.211481419000002</v>
      </c>
      <c r="I8" s="39"/>
      <c r="J8" s="39"/>
      <c r="K8" s="39"/>
      <c r="L8" s="39"/>
      <c r="M8" s="39"/>
      <c r="N8" s="38">
        <f t="shared" si="4"/>
        <v>44.211481419000002</v>
      </c>
      <c r="O8" s="24">
        <f t="shared" si="5"/>
        <v>0</v>
      </c>
      <c r="P8" s="24"/>
    </row>
    <row r="9" spans="1:16" ht="12.75" customHeight="1">
      <c r="A9" s="15">
        <v>42185</v>
      </c>
      <c r="B9" s="35"/>
      <c r="C9" s="37"/>
      <c r="D9" s="38"/>
      <c r="E9" s="39"/>
      <c r="F9" s="39"/>
      <c r="G9" s="22">
        <f t="shared" si="3"/>
        <v>0</v>
      </c>
      <c r="H9" s="39"/>
      <c r="I9" s="39"/>
      <c r="J9" s="39">
        <f>98*0.2899</f>
        <v>28.4102</v>
      </c>
      <c r="K9" s="39"/>
      <c r="L9" s="39"/>
      <c r="M9" s="39"/>
      <c r="N9" s="38">
        <f t="shared" si="4"/>
        <v>28.4102</v>
      </c>
      <c r="O9" s="24">
        <f t="shared" si="5"/>
        <v>0</v>
      </c>
      <c r="P9" s="24"/>
    </row>
    <row r="10" spans="1:16" ht="12.75" customHeight="1">
      <c r="A10" s="15">
        <v>42219</v>
      </c>
      <c r="B10" s="35">
        <v>35</v>
      </c>
      <c r="C10" s="37">
        <v>22.24</v>
      </c>
      <c r="D10" s="38">
        <f t="shared" ref="D10:D11" si="6">O10/B10</f>
        <v>22.390529942857142</v>
      </c>
      <c r="E10" s="39"/>
      <c r="F10" s="39">
        <v>5</v>
      </c>
      <c r="G10" s="22">
        <f t="shared" si="3"/>
        <v>0.26854799999999995</v>
      </c>
      <c r="H10" s="41"/>
      <c r="I10" s="39"/>
      <c r="J10" s="39"/>
      <c r="K10" s="39"/>
      <c r="L10" s="39"/>
      <c r="M10" s="39"/>
      <c r="N10" s="38">
        <f t="shared" si="4"/>
        <v>0</v>
      </c>
      <c r="O10" s="24">
        <f t="shared" si="5"/>
        <v>783.66854799999999</v>
      </c>
      <c r="P10" s="24"/>
    </row>
    <row r="11" spans="1:16" ht="12.75" customHeight="1">
      <c r="A11" s="15">
        <v>42248</v>
      </c>
      <c r="B11" s="35">
        <v>45</v>
      </c>
      <c r="C11" s="37">
        <v>17.37</v>
      </c>
      <c r="D11" s="38">
        <f t="shared" si="6"/>
        <v>17.487103761111111</v>
      </c>
      <c r="E11" s="39"/>
      <c r="F11" s="39">
        <v>5</v>
      </c>
      <c r="G11" s="22">
        <f t="shared" si="3"/>
        <v>0.26966925000000003</v>
      </c>
      <c r="H11" s="43">
        <f>133*0.0141969641</f>
        <v>1.8881962253000002</v>
      </c>
      <c r="I11" s="39"/>
      <c r="J11" s="39">
        <f>133*0.12629118286</f>
        <v>16.796727320379997</v>
      </c>
      <c r="K11" s="39"/>
      <c r="L11" s="39"/>
      <c r="M11" s="39"/>
      <c r="N11" s="38">
        <f t="shared" si="4"/>
        <v>18.684923545679997</v>
      </c>
      <c r="O11" s="24">
        <f t="shared" si="5"/>
        <v>786.91966925000008</v>
      </c>
      <c r="P11" s="24"/>
    </row>
    <row r="12" spans="1:16" ht="12.75" customHeight="1">
      <c r="A12" s="15">
        <v>42277</v>
      </c>
      <c r="B12" s="35"/>
      <c r="C12" s="37"/>
      <c r="D12" s="38"/>
      <c r="E12" s="39"/>
      <c r="F12" s="39"/>
      <c r="G12" s="22">
        <f t="shared" si="3"/>
        <v>0</v>
      </c>
      <c r="H12" s="41"/>
      <c r="I12" s="39"/>
      <c r="J12" s="39">
        <f>178*0.26607802608</f>
        <v>47.361888642239997</v>
      </c>
      <c r="K12" s="39"/>
      <c r="L12" s="39"/>
      <c r="M12" s="39"/>
      <c r="N12" s="38">
        <f t="shared" si="4"/>
        <v>47.361888642239997</v>
      </c>
      <c r="O12" s="24">
        <f t="shared" si="5"/>
        <v>0</v>
      </c>
      <c r="P12" s="24"/>
    </row>
    <row r="13" spans="1:16" ht="12.75" customHeight="1">
      <c r="A13" s="15">
        <v>42307</v>
      </c>
      <c r="B13" s="35">
        <v>49</v>
      </c>
      <c r="C13" s="37">
        <v>15.97</v>
      </c>
      <c r="D13" s="38">
        <f>O13/B13</f>
        <v>16.077550466326532</v>
      </c>
      <c r="E13" s="39"/>
      <c r="F13" s="39">
        <v>5</v>
      </c>
      <c r="G13" s="22">
        <f t="shared" si="3"/>
        <v>0.26997285000000004</v>
      </c>
      <c r="H13" s="41"/>
      <c r="I13" s="39"/>
      <c r="J13" s="39"/>
      <c r="K13" s="39"/>
      <c r="L13" s="39"/>
      <c r="M13" s="39"/>
      <c r="N13" s="38">
        <f t="shared" si="4"/>
        <v>0</v>
      </c>
      <c r="O13" s="24">
        <f t="shared" si="5"/>
        <v>787.79997285000013</v>
      </c>
      <c r="P13" s="24"/>
    </row>
    <row r="14" spans="1:16" ht="12.75" customHeight="1">
      <c r="A14" s="15">
        <v>42340</v>
      </c>
      <c r="B14" s="35"/>
      <c r="C14" s="37"/>
      <c r="D14" s="38"/>
      <c r="E14" s="39"/>
      <c r="F14" s="39"/>
      <c r="G14" s="22">
        <f t="shared" si="3"/>
        <v>0</v>
      </c>
      <c r="H14" s="41"/>
      <c r="I14" s="39"/>
      <c r="J14" s="39">
        <v>32.979999999999997</v>
      </c>
      <c r="K14" s="39"/>
      <c r="L14" s="39"/>
      <c r="M14" s="39"/>
      <c r="N14" s="38"/>
      <c r="O14" s="24">
        <f t="shared" si="5"/>
        <v>0</v>
      </c>
      <c r="P14" s="24"/>
    </row>
    <row r="15" spans="1:16" ht="12.75" customHeight="1">
      <c r="A15" s="15">
        <v>42734</v>
      </c>
      <c r="B15" s="35"/>
      <c r="C15" s="37"/>
      <c r="D15" s="38"/>
      <c r="E15" s="39"/>
      <c r="F15" s="39"/>
      <c r="G15" s="22">
        <f t="shared" si="3"/>
        <v>0</v>
      </c>
      <c r="H15" s="48">
        <f>227* 0.27449087311</f>
        <v>62.309428195969993</v>
      </c>
      <c r="I15" s="39"/>
      <c r="J15" s="39"/>
      <c r="K15" s="39"/>
      <c r="L15" s="39"/>
      <c r="M15" s="39"/>
      <c r="N15" s="38">
        <f>H15+I15+J15+K15+L15</f>
        <v>62.309428195969993</v>
      </c>
      <c r="O15" s="24">
        <f t="shared" si="5"/>
        <v>0</v>
      </c>
      <c r="P15" s="24"/>
    </row>
    <row r="16" spans="1:16" ht="12.75" customHeight="1">
      <c r="A16" s="26">
        <v>2015</v>
      </c>
      <c r="B16" s="51">
        <f>SUM(B5:B15)</f>
        <v>227</v>
      </c>
      <c r="C16" s="30"/>
      <c r="D16" s="30">
        <f>O16/B16</f>
        <v>21.046339443171806</v>
      </c>
      <c r="E16" s="30"/>
      <c r="F16" s="30">
        <f t="shared" ref="F16:O16" si="7">SUM(F5:F15)</f>
        <v>25</v>
      </c>
      <c r="G16" s="30">
        <f t="shared" si="7"/>
        <v>1.6390536</v>
      </c>
      <c r="H16" s="30">
        <f t="shared" si="7"/>
        <v>108.40910584027</v>
      </c>
      <c r="I16" s="30">
        <f t="shared" si="7"/>
        <v>0</v>
      </c>
      <c r="J16" s="30">
        <f t="shared" si="7"/>
        <v>150.43081596261999</v>
      </c>
      <c r="K16" s="30">
        <f t="shared" si="7"/>
        <v>0</v>
      </c>
      <c r="L16" s="30">
        <f t="shared" si="7"/>
        <v>0</v>
      </c>
      <c r="M16" s="30">
        <f t="shared" si="7"/>
        <v>0</v>
      </c>
      <c r="N16" s="30">
        <f t="shared" si="7"/>
        <v>225.85992180288997</v>
      </c>
      <c r="O16" s="30">
        <f t="shared" si="7"/>
        <v>4777.5190536</v>
      </c>
      <c r="P16" s="30"/>
    </row>
    <row r="17" spans="1:16" ht="12.75" customHeight="1">
      <c r="A17" s="15">
        <v>42440</v>
      </c>
      <c r="B17" s="53"/>
      <c r="C17" s="38"/>
      <c r="D17" s="38"/>
      <c r="E17" s="38"/>
      <c r="F17" s="38"/>
      <c r="G17" s="22"/>
      <c r="H17" s="38"/>
      <c r="I17" s="38"/>
      <c r="J17" s="38">
        <f t="shared" ref="J17:J18" si="8">0.0983*227</f>
        <v>22.3141</v>
      </c>
      <c r="K17" s="38"/>
      <c r="L17" s="38"/>
      <c r="M17" s="38"/>
      <c r="N17" s="38"/>
      <c r="O17" s="55"/>
      <c r="P17" s="55"/>
    </row>
    <row r="18" spans="1:16" ht="12.75" customHeight="1">
      <c r="A18" s="15">
        <v>42460</v>
      </c>
      <c r="B18" s="53"/>
      <c r="C18" s="38"/>
      <c r="D18" s="38"/>
      <c r="E18" s="38"/>
      <c r="F18" s="38"/>
      <c r="G18" s="22"/>
      <c r="H18" s="38"/>
      <c r="I18" s="38"/>
      <c r="J18" s="38">
        <f t="shared" si="8"/>
        <v>22.3141</v>
      </c>
      <c r="K18" s="38"/>
      <c r="L18" s="38"/>
      <c r="M18" s="38"/>
      <c r="N18" s="38"/>
      <c r="O18" s="55"/>
      <c r="P18" s="55"/>
    </row>
    <row r="19" spans="1:16" ht="12.75" customHeight="1">
      <c r="A19" s="15">
        <v>42521</v>
      </c>
      <c r="B19" s="53"/>
      <c r="C19" s="38"/>
      <c r="D19" s="38"/>
      <c r="E19" s="38"/>
      <c r="F19" s="38"/>
      <c r="G19" s="24"/>
      <c r="H19" s="38"/>
      <c r="I19" s="38"/>
      <c r="J19" s="38">
        <f>0.13368277075*278</f>
        <v>37.163810268500001</v>
      </c>
      <c r="K19" s="38"/>
      <c r="L19" s="38"/>
      <c r="M19" s="38"/>
      <c r="N19" s="38"/>
      <c r="O19" s="55"/>
      <c r="P19" s="55"/>
    </row>
    <row r="20" spans="1:16" ht="12.75" customHeight="1">
      <c r="A20" s="15">
        <v>42552</v>
      </c>
      <c r="B20" s="53">
        <v>51</v>
      </c>
      <c r="C20" s="38">
        <v>17.18</v>
      </c>
      <c r="D20" s="38">
        <f>O20/B20</f>
        <v>17.283966315686271</v>
      </c>
      <c r="E20" s="38"/>
      <c r="F20" s="38">
        <v>5</v>
      </c>
      <c r="G20" s="24">
        <f>B20*C20*0.000345</f>
        <v>0.30228209999999994</v>
      </c>
      <c r="H20" s="38"/>
      <c r="I20" s="38"/>
      <c r="J20" s="38"/>
      <c r="K20" s="38"/>
      <c r="L20" s="38"/>
      <c r="M20" s="38"/>
      <c r="N20" s="38"/>
      <c r="O20" s="55">
        <f>B20*C20+F20+G20</f>
        <v>881.48228209999991</v>
      </c>
      <c r="P20" s="55"/>
    </row>
    <row r="21" spans="1:16" ht="12.75" customHeight="1">
      <c r="A21" s="15">
        <v>42613</v>
      </c>
      <c r="B21" s="58"/>
      <c r="C21" s="60"/>
      <c r="D21" s="38"/>
      <c r="E21" s="38"/>
      <c r="F21" s="38"/>
      <c r="G21" s="22"/>
      <c r="H21" s="38"/>
      <c r="I21" s="38"/>
      <c r="J21" s="38">
        <f>278*0.13894008501</f>
        <v>38.625343632779995</v>
      </c>
      <c r="K21" s="38"/>
      <c r="L21" s="38"/>
      <c r="M21" s="38"/>
      <c r="N21" s="38"/>
      <c r="O21" s="55"/>
      <c r="P21" s="55"/>
    </row>
    <row r="22" spans="1:16" ht="12.75" customHeight="1">
      <c r="A22" s="15">
        <v>42643</v>
      </c>
      <c r="B22" s="58"/>
      <c r="C22" s="60"/>
      <c r="D22" s="38"/>
      <c r="E22" s="38"/>
      <c r="F22" s="38"/>
      <c r="G22" s="22"/>
      <c r="H22" s="38"/>
      <c r="I22" s="38"/>
      <c r="J22" s="38">
        <f>278*0.12665207193</f>
        <v>35.209275996540001</v>
      </c>
      <c r="K22" s="38"/>
      <c r="L22" s="38"/>
      <c r="M22" s="38"/>
      <c r="N22" s="38"/>
      <c r="O22" s="55"/>
      <c r="P22" s="55"/>
    </row>
    <row r="23" spans="1:16" ht="12.75" customHeight="1">
      <c r="A23" s="15"/>
      <c r="B23" s="58"/>
      <c r="C23" s="60"/>
      <c r="D23" s="38"/>
      <c r="E23" s="38"/>
      <c r="F23" s="38"/>
      <c r="G23" s="22"/>
      <c r="H23" s="38"/>
      <c r="I23" s="38"/>
      <c r="J23" s="38"/>
      <c r="K23" s="38"/>
      <c r="L23" s="38"/>
      <c r="M23" s="38"/>
      <c r="N23" s="38"/>
      <c r="O23" s="55"/>
      <c r="P23" s="55"/>
    </row>
    <row r="24" spans="1:16" ht="12.75" customHeight="1">
      <c r="A24" s="15"/>
      <c r="B24" s="58"/>
      <c r="C24" s="60"/>
      <c r="D24" s="38"/>
      <c r="E24" s="38"/>
      <c r="F24" s="38"/>
      <c r="G24" s="22"/>
      <c r="H24" s="38"/>
      <c r="I24" s="38"/>
      <c r="J24" s="38"/>
      <c r="K24" s="38"/>
      <c r="L24" s="38"/>
      <c r="M24" s="38"/>
      <c r="N24" s="38"/>
      <c r="O24" s="55"/>
      <c r="P24" s="55"/>
    </row>
    <row r="25" spans="1:16" ht="12.75" customHeight="1">
      <c r="A25" s="26">
        <v>2016</v>
      </c>
      <c r="B25" s="51">
        <f>SUM(B17:B24)</f>
        <v>51</v>
      </c>
      <c r="C25" s="30"/>
      <c r="D25" s="30">
        <f>O25/B25</f>
        <v>17.283966315686271</v>
      </c>
      <c r="E25" s="30">
        <f t="shared" ref="E25:O25" si="9">SUM(E17:E24)</f>
        <v>0</v>
      </c>
      <c r="F25" s="30">
        <f t="shared" si="9"/>
        <v>5</v>
      </c>
      <c r="G25" s="30">
        <f t="shared" si="9"/>
        <v>0.30228209999999994</v>
      </c>
      <c r="H25" s="30">
        <f t="shared" si="9"/>
        <v>0</v>
      </c>
      <c r="I25" s="30">
        <f t="shared" si="9"/>
        <v>0</v>
      </c>
      <c r="J25" s="30">
        <f t="shared" si="9"/>
        <v>155.62662989782001</v>
      </c>
      <c r="K25" s="30">
        <f t="shared" si="9"/>
        <v>0</v>
      </c>
      <c r="L25" s="30">
        <f t="shared" si="9"/>
        <v>0</v>
      </c>
      <c r="M25" s="30">
        <f t="shared" si="9"/>
        <v>0</v>
      </c>
      <c r="N25" s="30">
        <f t="shared" si="9"/>
        <v>0</v>
      </c>
      <c r="O25" s="30">
        <f t="shared" si="9"/>
        <v>881.48228209999991</v>
      </c>
      <c r="P25" s="30"/>
    </row>
    <row r="26" spans="1:16" ht="12.75" customHeight="1">
      <c r="A26" s="15"/>
      <c r="B26" s="53"/>
      <c r="C26" s="38"/>
      <c r="D26" s="38"/>
      <c r="E26" s="38"/>
      <c r="F26" s="38"/>
      <c r="G26" s="22"/>
      <c r="H26" s="38"/>
      <c r="I26" s="38"/>
      <c r="J26" s="38"/>
      <c r="K26" s="38"/>
      <c r="L26" s="38"/>
      <c r="M26" s="38"/>
      <c r="N26" s="38"/>
      <c r="O26" s="55"/>
      <c r="P26" s="55"/>
    </row>
    <row r="27" spans="1:16" ht="12.75" customHeight="1">
      <c r="A27" s="15"/>
      <c r="B27" s="53"/>
      <c r="C27" s="38"/>
      <c r="D27" s="38"/>
      <c r="E27" s="38"/>
      <c r="F27" s="38"/>
      <c r="G27" s="22"/>
      <c r="H27" s="38"/>
      <c r="I27" s="38"/>
      <c r="J27" s="38"/>
      <c r="K27" s="38"/>
      <c r="L27" s="38"/>
      <c r="M27" s="38"/>
      <c r="N27" s="38"/>
      <c r="O27" s="55"/>
      <c r="P27" s="55"/>
    </row>
    <row r="28" spans="1:16" ht="12.75" customHeight="1">
      <c r="A28" s="15"/>
      <c r="B28" s="53"/>
      <c r="C28" s="38"/>
      <c r="D28" s="38"/>
      <c r="E28" s="38"/>
      <c r="F28" s="38"/>
      <c r="G28" s="22"/>
      <c r="H28" s="38"/>
      <c r="I28" s="38"/>
      <c r="J28" s="38"/>
      <c r="K28" s="38"/>
      <c r="L28" s="38"/>
      <c r="M28" s="38"/>
      <c r="N28" s="38"/>
      <c r="O28" s="55"/>
      <c r="P28" s="55"/>
    </row>
    <row r="29" spans="1:16" ht="12.75" customHeight="1">
      <c r="A29" s="26"/>
      <c r="B29" s="66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1:16" ht="12.75" customHeight="1">
      <c r="A30" s="15"/>
      <c r="B30" s="53"/>
      <c r="C30" s="38"/>
      <c r="D30" s="38"/>
      <c r="E30" s="38"/>
      <c r="F30" s="38"/>
      <c r="G30" s="22"/>
      <c r="H30" s="38"/>
      <c r="I30" s="38"/>
      <c r="J30" s="38"/>
      <c r="K30" s="38"/>
      <c r="L30" s="38"/>
      <c r="M30" s="38"/>
      <c r="N30" s="38"/>
      <c r="O30" s="55"/>
      <c r="P30" s="55"/>
    </row>
  </sheetData>
  <conditionalFormatting sqref="H2:H9 B2:G30 I2:Q30 H16:H30">
    <cfRule type="cellIs" dxfId="13" priority="1" stopIfTrue="1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4"/>
  <dimension ref="A1:P35"/>
  <sheetViews>
    <sheetView workbookViewId="0">
      <pane ySplit="2" topLeftCell="A3" activePane="bottomLeft" state="frozen"/>
      <selection pane="bottomLeft" activeCell="B4" sqref="B4"/>
    </sheetView>
  </sheetViews>
  <sheetFormatPr defaultColWidth="17.28515625" defaultRowHeight="15.75" customHeight="1"/>
  <cols>
    <col min="1" max="1" width="12.5703125" customWidth="1"/>
    <col min="2" max="2" width="10.5703125" customWidth="1"/>
    <col min="3" max="3" width="11" customWidth="1"/>
    <col min="4" max="4" width="9.42578125" customWidth="1"/>
    <col min="5" max="6" width="11" customWidth="1"/>
    <col min="7" max="7" width="12.85546875" customWidth="1"/>
    <col min="8" max="8" width="11.85546875" customWidth="1"/>
    <col min="9" max="9" width="13.140625" customWidth="1"/>
    <col min="10" max="10" width="12" customWidth="1"/>
    <col min="11" max="11" width="12.42578125" customWidth="1"/>
    <col min="12" max="12" width="13.140625" customWidth="1"/>
    <col min="13" max="13" width="11.85546875" customWidth="1"/>
    <col min="14" max="14" width="12.140625" customWidth="1"/>
    <col min="15" max="16" width="12.5703125" customWidth="1"/>
  </cols>
  <sheetData>
    <row r="1" spans="1:16" ht="12.75" customHeight="1">
      <c r="A1" s="75" t="s">
        <v>39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14</v>
      </c>
      <c r="N1" s="3" t="s">
        <v>13</v>
      </c>
      <c r="O1" s="3" t="s">
        <v>15</v>
      </c>
      <c r="P1" s="3"/>
    </row>
    <row r="2" spans="1:16" ht="12.75" customHeight="1">
      <c r="A2" s="6" t="str">
        <f ca="1">IFERROR(__xludf.DUMMYFUNCTION("GOOGLEFINANCE(A1)"),"R$ 30.32")</f>
        <v>R$ 30.32</v>
      </c>
      <c r="B2" s="78" t="e">
        <f ca="1">B4+B16+B30+B34</f>
        <v>#VALUE!</v>
      </c>
      <c r="C2" s="79" t="e">
        <f ca="1">SUM((O2-G2-F2)/B2)</f>
        <v>#VALUE!</v>
      </c>
      <c r="D2" s="80" t="e">
        <f ca="1">O2/B2</f>
        <v>#VALUE!</v>
      </c>
      <c r="E2" s="80"/>
      <c r="F2" s="80">
        <f t="shared" ref="F2:O2" si="0">F4+F16+F30+F34</f>
        <v>20</v>
      </c>
      <c r="G2" s="80" t="e">
        <f t="shared" ca="1" si="0"/>
        <v>#VALUE!</v>
      </c>
      <c r="H2" s="80">
        <f t="shared" si="0"/>
        <v>7.0263000000000009</v>
      </c>
      <c r="I2" s="80">
        <f t="shared" si="0"/>
        <v>0</v>
      </c>
      <c r="J2" s="80">
        <f t="shared" si="0"/>
        <v>30.765699701999999</v>
      </c>
      <c r="K2" s="80">
        <f t="shared" si="0"/>
        <v>0</v>
      </c>
      <c r="L2" s="80">
        <f t="shared" si="0"/>
        <v>0</v>
      </c>
      <c r="M2" s="80">
        <f t="shared" si="0"/>
        <v>0</v>
      </c>
      <c r="N2" s="80">
        <f t="shared" si="0"/>
        <v>0</v>
      </c>
      <c r="O2" s="80">
        <f t="shared" si="0"/>
        <v>2004.886274</v>
      </c>
      <c r="P2" s="80"/>
    </row>
    <row r="3" spans="1:16" ht="12.75" customHeight="1">
      <c r="A3" s="15">
        <f ca="1">NOW()</f>
        <v>45511.687532986114</v>
      </c>
      <c r="B3" s="82" t="e">
        <f ca="1">O3/C3</f>
        <v>#VALUE!</v>
      </c>
      <c r="C3" s="83" t="str">
        <f ca="1">A2</f>
        <v>R$ 30.32</v>
      </c>
      <c r="D3" s="38"/>
      <c r="E3" s="38"/>
      <c r="F3" s="38">
        <v>5</v>
      </c>
      <c r="G3" s="84" t="e">
        <f ca="1">SUM(B3*C3*0.000345)</f>
        <v>#VALUE!</v>
      </c>
      <c r="H3" s="38"/>
      <c r="I3" s="38"/>
      <c r="J3" s="38"/>
      <c r="K3" s="38"/>
      <c r="L3" s="38"/>
      <c r="M3" s="38"/>
      <c r="N3" s="38"/>
      <c r="O3" s="38">
        <f>P!Q4</f>
        <v>0</v>
      </c>
      <c r="P3" s="38"/>
    </row>
    <row r="4" spans="1:16" ht="12.75" customHeight="1">
      <c r="A4" s="26" t="s">
        <v>23</v>
      </c>
      <c r="B4" s="85" t="e">
        <f ca="1">SUM(B3)</f>
        <v>#VALUE!</v>
      </c>
      <c r="C4" s="30" t="str">
        <f t="shared" ref="C4:D4" ca="1" si="1">C3</f>
        <v>R$ 30.32</v>
      </c>
      <c r="D4" s="30">
        <f t="shared" si="1"/>
        <v>0</v>
      </c>
      <c r="E4" s="30"/>
      <c r="F4" s="30">
        <f t="shared" ref="F4:L4" si="2">SUM(F3)</f>
        <v>5</v>
      </c>
      <c r="G4" s="30" t="e">
        <f t="shared" ca="1" si="2"/>
        <v>#VALUE!</v>
      </c>
      <c r="H4" s="30">
        <f t="shared" si="2"/>
        <v>0</v>
      </c>
      <c r="I4" s="30">
        <f t="shared" si="2"/>
        <v>0</v>
      </c>
      <c r="J4" s="30">
        <f t="shared" si="2"/>
        <v>0</v>
      </c>
      <c r="K4" s="30">
        <f t="shared" si="2"/>
        <v>0</v>
      </c>
      <c r="L4" s="30">
        <f t="shared" si="2"/>
        <v>0</v>
      </c>
      <c r="M4" s="30"/>
      <c r="N4" s="30">
        <f>SUM(N3)</f>
        <v>0</v>
      </c>
      <c r="O4" s="30">
        <f>O3</f>
        <v>0</v>
      </c>
      <c r="P4" s="30"/>
    </row>
    <row r="5" spans="1:16" ht="12.75" customHeight="1">
      <c r="A5" s="15">
        <v>42065</v>
      </c>
      <c r="B5" s="86">
        <v>10</v>
      </c>
      <c r="C5" s="37">
        <v>37.090000000000003</v>
      </c>
      <c r="D5" s="38"/>
      <c r="E5" s="37"/>
      <c r="F5" s="37">
        <v>5</v>
      </c>
      <c r="G5" s="84">
        <f t="shared" ref="G5:G15" si="3">SUM(B5*C5*0.000345)</f>
        <v>0.1279605</v>
      </c>
      <c r="H5" s="37"/>
      <c r="I5" s="37"/>
      <c r="J5" s="37"/>
      <c r="K5" s="37"/>
      <c r="L5" s="37"/>
      <c r="M5" s="37"/>
      <c r="N5" s="37"/>
      <c r="O5" s="38">
        <f t="shared" ref="O5:O15" si="4">SUM(B5*C5+F5+G5)</f>
        <v>376.02796050000001</v>
      </c>
      <c r="P5" s="38"/>
    </row>
    <row r="6" spans="1:16" ht="12.75" customHeight="1">
      <c r="A6" s="15">
        <v>42089</v>
      </c>
      <c r="B6" s="86">
        <v>2</v>
      </c>
      <c r="C6" s="37"/>
      <c r="D6" s="38"/>
      <c r="E6" s="37"/>
      <c r="F6" s="37"/>
      <c r="G6" s="84">
        <f t="shared" si="3"/>
        <v>0</v>
      </c>
      <c r="H6" s="37"/>
      <c r="I6" s="37"/>
      <c r="J6" s="37"/>
      <c r="K6" s="37"/>
      <c r="L6" s="37"/>
      <c r="M6" s="37"/>
      <c r="N6" s="37"/>
      <c r="O6" s="38">
        <f t="shared" si="4"/>
        <v>0</v>
      </c>
      <c r="P6" s="87" t="s">
        <v>42</v>
      </c>
    </row>
    <row r="7" spans="1:16" ht="12.75" customHeight="1">
      <c r="A7" s="15">
        <v>42095</v>
      </c>
      <c r="B7" s="86">
        <v>25</v>
      </c>
      <c r="C7" s="37">
        <v>30.61</v>
      </c>
      <c r="D7" s="38"/>
      <c r="E7" s="37"/>
      <c r="F7" s="37">
        <v>5</v>
      </c>
      <c r="G7" s="84">
        <f t="shared" si="3"/>
        <v>0.26401124999999998</v>
      </c>
      <c r="H7" s="37"/>
      <c r="I7" s="37"/>
      <c r="J7" s="37">
        <f>10*0.0207</f>
        <v>0.20699999999999999</v>
      </c>
      <c r="K7" s="37"/>
      <c r="L7" s="37"/>
      <c r="M7" s="37"/>
      <c r="N7" s="37"/>
      <c r="O7" s="38">
        <f t="shared" si="4"/>
        <v>770.51401124999995</v>
      </c>
      <c r="P7" s="38"/>
    </row>
    <row r="8" spans="1:16" ht="12.75" customHeight="1">
      <c r="A8" s="15">
        <v>42128</v>
      </c>
      <c r="B8" s="86"/>
      <c r="C8" s="37"/>
      <c r="D8" s="38"/>
      <c r="E8" s="37"/>
      <c r="F8" s="37"/>
      <c r="G8" s="84">
        <f t="shared" si="3"/>
        <v>0</v>
      </c>
      <c r="H8" s="37"/>
      <c r="I8" s="37"/>
      <c r="J8" s="37">
        <f>37*0.019</f>
        <v>0.70299999999999996</v>
      </c>
      <c r="K8" s="37"/>
      <c r="L8" s="37"/>
      <c r="M8" s="37"/>
      <c r="N8" s="37"/>
      <c r="O8" s="38">
        <f t="shared" si="4"/>
        <v>0</v>
      </c>
      <c r="P8" s="38"/>
    </row>
    <row r="9" spans="1:16" ht="12.75" customHeight="1">
      <c r="A9" s="15">
        <v>42156</v>
      </c>
      <c r="B9" s="86"/>
      <c r="C9" s="37"/>
      <c r="D9" s="38"/>
      <c r="E9" s="37"/>
      <c r="F9" s="37"/>
      <c r="G9" s="84">
        <f t="shared" si="3"/>
        <v>0</v>
      </c>
      <c r="H9" s="37"/>
      <c r="I9" s="37"/>
      <c r="J9" s="37">
        <f t="shared" ref="J9:J10" si="5">37*0.018974809</f>
        <v>0.70206793299999992</v>
      </c>
      <c r="K9" s="37"/>
      <c r="L9" s="37"/>
      <c r="M9" s="37"/>
      <c r="N9" s="37"/>
      <c r="O9" s="38">
        <f t="shared" si="4"/>
        <v>0</v>
      </c>
      <c r="P9" s="38"/>
    </row>
    <row r="10" spans="1:16" ht="12.75" customHeight="1">
      <c r="A10" s="15">
        <v>42186</v>
      </c>
      <c r="B10" s="86"/>
      <c r="C10" s="37"/>
      <c r="D10" s="38"/>
      <c r="E10" s="37"/>
      <c r="F10" s="37"/>
      <c r="G10" s="84">
        <f t="shared" si="3"/>
        <v>0</v>
      </c>
      <c r="H10" s="37"/>
      <c r="I10" s="37"/>
      <c r="J10" s="37">
        <f t="shared" si="5"/>
        <v>0.70206793299999992</v>
      </c>
      <c r="K10" s="37"/>
      <c r="L10" s="37"/>
      <c r="M10" s="37"/>
      <c r="N10" s="37"/>
      <c r="O10" s="38">
        <f t="shared" si="4"/>
        <v>0</v>
      </c>
      <c r="P10" s="38"/>
    </row>
    <row r="11" spans="1:16" ht="12.75" customHeight="1">
      <c r="A11" s="15">
        <v>42202</v>
      </c>
      <c r="B11" s="86"/>
      <c r="C11" s="37"/>
      <c r="D11" s="38"/>
      <c r="E11" s="37"/>
      <c r="F11" s="37"/>
      <c r="G11" s="84">
        <f t="shared" si="3"/>
        <v>0</v>
      </c>
      <c r="H11" s="37">
        <f>37*0.1899</f>
        <v>7.0263000000000009</v>
      </c>
      <c r="I11" s="37"/>
      <c r="J11" s="37"/>
      <c r="K11" s="37"/>
      <c r="L11" s="37"/>
      <c r="M11" s="37"/>
      <c r="N11" s="37"/>
      <c r="O11" s="38">
        <f t="shared" si="4"/>
        <v>0</v>
      </c>
      <c r="P11" s="38"/>
    </row>
    <row r="12" spans="1:16" ht="12.75" customHeight="1">
      <c r="A12" s="15">
        <v>42219</v>
      </c>
      <c r="B12" s="86"/>
      <c r="C12" s="37"/>
      <c r="D12" s="38"/>
      <c r="E12" s="37"/>
      <c r="F12" s="37"/>
      <c r="G12" s="84">
        <f t="shared" si="3"/>
        <v>0</v>
      </c>
      <c r="H12" s="37"/>
      <c r="I12" s="37"/>
      <c r="J12" s="37">
        <f t="shared" ref="J12:J15" si="6">37*0.016128588</f>
        <v>0.59675775599999992</v>
      </c>
      <c r="K12" s="37"/>
      <c r="L12" s="37"/>
      <c r="M12" s="37"/>
      <c r="N12" s="37"/>
      <c r="O12" s="38">
        <f t="shared" si="4"/>
        <v>0</v>
      </c>
      <c r="P12" s="38"/>
    </row>
    <row r="13" spans="1:16" ht="12.75" customHeight="1">
      <c r="A13" s="15">
        <v>42248</v>
      </c>
      <c r="B13" s="86"/>
      <c r="C13" s="37"/>
      <c r="D13" s="38"/>
      <c r="E13" s="37"/>
      <c r="F13" s="37"/>
      <c r="G13" s="84">
        <f t="shared" si="3"/>
        <v>0</v>
      </c>
      <c r="H13" s="37"/>
      <c r="I13" s="37"/>
      <c r="J13" s="37">
        <f t="shared" si="6"/>
        <v>0.59675775599999992</v>
      </c>
      <c r="K13" s="37"/>
      <c r="L13" s="37"/>
      <c r="M13" s="37"/>
      <c r="N13" s="37"/>
      <c r="O13" s="38">
        <f t="shared" si="4"/>
        <v>0</v>
      </c>
      <c r="P13" s="38"/>
    </row>
    <row r="14" spans="1:16" ht="12.75" customHeight="1">
      <c r="A14" s="15">
        <v>42278</v>
      </c>
      <c r="B14" s="86"/>
      <c r="C14" s="37"/>
      <c r="D14" s="38"/>
      <c r="E14" s="37"/>
      <c r="F14" s="37"/>
      <c r="G14" s="84">
        <f t="shared" si="3"/>
        <v>0</v>
      </c>
      <c r="H14" s="37"/>
      <c r="I14" s="37"/>
      <c r="J14" s="37">
        <f t="shared" si="6"/>
        <v>0.59675775599999992</v>
      </c>
      <c r="K14" s="37"/>
      <c r="L14" s="37"/>
      <c r="M14" s="37"/>
      <c r="N14" s="37"/>
      <c r="O14" s="38">
        <f t="shared" si="4"/>
        <v>0</v>
      </c>
      <c r="P14" s="38"/>
    </row>
    <row r="15" spans="1:16" ht="12.75" customHeight="1">
      <c r="A15" s="15">
        <v>42339</v>
      </c>
      <c r="B15" s="86"/>
      <c r="C15" s="37"/>
      <c r="D15" s="38"/>
      <c r="E15" s="37"/>
      <c r="F15" s="37"/>
      <c r="G15" s="84">
        <f t="shared" si="3"/>
        <v>0</v>
      </c>
      <c r="H15" s="37"/>
      <c r="I15" s="37"/>
      <c r="J15" s="37">
        <f t="shared" si="6"/>
        <v>0.59675775599999992</v>
      </c>
      <c r="K15" s="37"/>
      <c r="L15" s="37"/>
      <c r="M15" s="37"/>
      <c r="N15" s="37"/>
      <c r="O15" s="38">
        <f t="shared" si="4"/>
        <v>0</v>
      </c>
      <c r="P15" s="38"/>
    </row>
    <row r="16" spans="1:16" ht="12.75" customHeight="1">
      <c r="A16" s="26">
        <v>2015</v>
      </c>
      <c r="B16" s="66">
        <f>SUM(B5:B15)</f>
        <v>37</v>
      </c>
      <c r="C16" s="30">
        <f>SUM((O16/B16))</f>
        <v>30.987620858108105</v>
      </c>
      <c r="D16" s="30">
        <f>SUM((O16/B16))</f>
        <v>30.987620858108105</v>
      </c>
      <c r="E16" s="30"/>
      <c r="F16" s="30">
        <f>SUM(F5:F15)</f>
        <v>10</v>
      </c>
      <c r="G16" s="30" t="e">
        <f t="shared" ref="G16:L16" ca="1" si="7">SUM(G3:G15)</f>
        <v>#VALUE!</v>
      </c>
      <c r="H16" s="30">
        <f t="shared" si="7"/>
        <v>7.0263000000000009</v>
      </c>
      <c r="I16" s="30">
        <f t="shared" si="7"/>
        <v>0</v>
      </c>
      <c r="J16" s="30">
        <f t="shared" si="7"/>
        <v>4.7011668899999988</v>
      </c>
      <c r="K16" s="30">
        <f t="shared" si="7"/>
        <v>0</v>
      </c>
      <c r="L16" s="30">
        <f t="shared" si="7"/>
        <v>0</v>
      </c>
      <c r="M16" s="30"/>
      <c r="N16" s="30">
        <f>SUM(N3:N15)</f>
        <v>0</v>
      </c>
      <c r="O16" s="30">
        <f>SUM(O5:O15)</f>
        <v>1146.5419717499999</v>
      </c>
      <c r="P16" s="30"/>
    </row>
    <row r="17" spans="1:16" ht="12.75" customHeight="1">
      <c r="A17" s="15">
        <v>42373</v>
      </c>
      <c r="B17" s="53"/>
      <c r="C17" s="38"/>
      <c r="D17" s="38"/>
      <c r="E17" s="38"/>
      <c r="F17" s="38"/>
      <c r="G17" s="79">
        <f t="shared" ref="G17:G19" si="8">SUM(B17*C17*0.000345)</f>
        <v>0</v>
      </c>
      <c r="H17" s="38"/>
      <c r="I17" s="38"/>
      <c r="J17" s="38">
        <f t="shared" ref="J17:J19" si="9">37*0.016128588</f>
        <v>0.59675775599999992</v>
      </c>
      <c r="K17" s="38"/>
      <c r="L17" s="38"/>
      <c r="M17" s="38"/>
      <c r="N17" s="38"/>
      <c r="O17" s="79">
        <f t="shared" ref="O17:O19" si="10">SUM(B17*C17+F17+G17)</f>
        <v>0</v>
      </c>
      <c r="P17" s="89"/>
    </row>
    <row r="18" spans="1:16" ht="12.75" customHeight="1">
      <c r="A18" s="15">
        <v>42401</v>
      </c>
      <c r="B18" s="53">
        <v>47</v>
      </c>
      <c r="C18" s="38">
        <v>18.149999999999999</v>
      </c>
      <c r="D18" s="38"/>
      <c r="E18" s="38"/>
      <c r="F18" s="38">
        <v>5</v>
      </c>
      <c r="G18" s="79">
        <f t="shared" si="8"/>
        <v>0.29430224999999999</v>
      </c>
      <c r="H18" s="38"/>
      <c r="I18" s="38"/>
      <c r="J18" s="38">
        <f t="shared" si="9"/>
        <v>0.59675775599999992</v>
      </c>
      <c r="K18" s="38"/>
      <c r="L18" s="38"/>
      <c r="M18" s="38"/>
      <c r="N18" s="38"/>
      <c r="O18" s="79">
        <f t="shared" si="10"/>
        <v>858.34430224999994</v>
      </c>
      <c r="P18" s="89"/>
    </row>
    <row r="19" spans="1:16" ht="12.75" customHeight="1">
      <c r="A19" s="15">
        <v>42430</v>
      </c>
      <c r="B19" s="53"/>
      <c r="C19" s="38"/>
      <c r="D19" s="38"/>
      <c r="E19" s="38"/>
      <c r="F19" s="38"/>
      <c r="G19" s="79">
        <f t="shared" si="8"/>
        <v>0</v>
      </c>
      <c r="H19" s="38"/>
      <c r="I19" s="38"/>
      <c r="J19" s="38">
        <f t="shared" si="9"/>
        <v>0.59675775599999992</v>
      </c>
      <c r="K19" s="38"/>
      <c r="L19" s="38"/>
      <c r="M19" s="38"/>
      <c r="N19" s="38"/>
      <c r="O19" s="79">
        <f t="shared" si="10"/>
        <v>0</v>
      </c>
      <c r="P19" s="89"/>
    </row>
    <row r="20" spans="1:16" ht="12.75" customHeight="1">
      <c r="A20" s="15">
        <v>42461</v>
      </c>
      <c r="B20" s="53"/>
      <c r="C20" s="38"/>
      <c r="D20" s="38"/>
      <c r="E20" s="38"/>
      <c r="F20" s="38"/>
      <c r="G20" s="79"/>
      <c r="H20" s="38"/>
      <c r="I20" s="38"/>
      <c r="J20" s="38">
        <v>1.35</v>
      </c>
      <c r="K20" s="38"/>
      <c r="L20" s="38"/>
      <c r="M20" s="38"/>
      <c r="N20" s="38"/>
      <c r="O20" s="79"/>
      <c r="P20" s="89"/>
    </row>
    <row r="21" spans="1:16" ht="12.75" customHeight="1">
      <c r="A21" s="15">
        <v>42478</v>
      </c>
      <c r="B21" s="53">
        <v>8</v>
      </c>
      <c r="C21" s="38"/>
      <c r="D21" s="38"/>
      <c r="E21" s="38"/>
      <c r="F21" s="38"/>
      <c r="G21" s="79">
        <f t="shared" ref="G21:G22" si="11">SUM(B21*C21*0.000345)</f>
        <v>0</v>
      </c>
      <c r="H21" s="38"/>
      <c r="I21" s="38"/>
      <c r="J21" s="38">
        <f t="shared" ref="J21:J22" si="12">84*0.016128588</f>
        <v>1.3548013919999999</v>
      </c>
      <c r="K21" s="38"/>
      <c r="L21" s="38"/>
      <c r="M21" s="38"/>
      <c r="N21" s="38"/>
      <c r="O21" s="79">
        <f t="shared" ref="O21:O22" si="13">SUM(B21*C21+F21+G21)</f>
        <v>0</v>
      </c>
      <c r="P21" s="89" t="s">
        <v>42</v>
      </c>
    </row>
    <row r="22" spans="1:16" ht="12.75" customHeight="1">
      <c r="A22" s="15">
        <v>42523</v>
      </c>
      <c r="B22" s="53"/>
      <c r="C22" s="38"/>
      <c r="D22" s="38"/>
      <c r="E22" s="38"/>
      <c r="F22" s="38"/>
      <c r="G22" s="79">
        <f t="shared" si="11"/>
        <v>0</v>
      </c>
      <c r="H22" s="38"/>
      <c r="I22" s="38"/>
      <c r="J22" s="38">
        <f t="shared" si="12"/>
        <v>1.3548013919999999</v>
      </c>
      <c r="K22" s="38"/>
      <c r="L22" s="38"/>
      <c r="M22" s="38"/>
      <c r="N22" s="38"/>
      <c r="O22" s="79">
        <f t="shared" si="13"/>
        <v>0</v>
      </c>
      <c r="P22" s="89"/>
    </row>
    <row r="23" spans="1:16" ht="12.75" customHeight="1">
      <c r="A23" s="15">
        <v>42552</v>
      </c>
      <c r="B23" s="53"/>
      <c r="C23" s="38"/>
      <c r="D23" s="38"/>
      <c r="E23" s="38"/>
      <c r="F23" s="38"/>
      <c r="G23" s="79"/>
      <c r="H23" s="38"/>
      <c r="I23" s="38"/>
      <c r="J23" s="38">
        <f>92*0.016128588</f>
        <v>1.4838300959999999</v>
      </c>
      <c r="K23" s="38"/>
      <c r="L23" s="38"/>
      <c r="M23" s="38"/>
      <c r="N23" s="38"/>
      <c r="O23" s="79"/>
      <c r="P23" s="89"/>
    </row>
    <row r="24" spans="1:16" ht="12.75" customHeight="1">
      <c r="A24" s="15">
        <v>42569</v>
      </c>
      <c r="B24" s="53"/>
      <c r="C24" s="38"/>
      <c r="D24" s="38"/>
      <c r="E24" s="38"/>
      <c r="F24" s="38"/>
      <c r="G24" s="79"/>
      <c r="H24" s="38"/>
      <c r="I24" s="38"/>
      <c r="J24" s="38">
        <f>92*0.146646324</f>
        <v>13.491461808</v>
      </c>
      <c r="K24" s="38"/>
      <c r="L24" s="38"/>
      <c r="M24" s="38"/>
      <c r="N24" s="38"/>
      <c r="O24" s="79"/>
      <c r="P24" s="89"/>
    </row>
    <row r="25" spans="1:16" ht="12.75" customHeight="1">
      <c r="A25" s="15">
        <v>42583</v>
      </c>
      <c r="B25" s="53"/>
      <c r="C25" s="38"/>
      <c r="D25" s="38"/>
      <c r="E25" s="38"/>
      <c r="F25" s="38"/>
      <c r="G25" s="79"/>
      <c r="H25" s="38"/>
      <c r="I25" s="38"/>
      <c r="J25" s="38">
        <f>92*0.019</f>
        <v>1.748</v>
      </c>
      <c r="K25" s="38"/>
      <c r="L25" s="38"/>
      <c r="M25" s="38"/>
      <c r="N25" s="38"/>
      <c r="O25" s="79"/>
      <c r="P25" s="89"/>
    </row>
    <row r="26" spans="1:16" ht="12.75" customHeight="1">
      <c r="A26" s="15">
        <v>42614</v>
      </c>
      <c r="B26" s="53"/>
      <c r="C26" s="38"/>
      <c r="D26" s="38"/>
      <c r="E26" s="38"/>
      <c r="F26" s="38"/>
      <c r="G26" s="79"/>
      <c r="H26" s="38"/>
      <c r="I26" s="38"/>
      <c r="J26" s="38">
        <f t="shared" ref="J26:J27" si="14">92*0.018974809</f>
        <v>1.7456824279999998</v>
      </c>
      <c r="K26" s="38"/>
      <c r="L26" s="38"/>
      <c r="M26" s="38"/>
      <c r="N26" s="38"/>
      <c r="O26" s="79"/>
      <c r="P26" s="89"/>
    </row>
    <row r="27" spans="1:16" ht="12.75" customHeight="1">
      <c r="A27" s="15">
        <v>42646</v>
      </c>
      <c r="B27" s="53"/>
      <c r="C27" s="38"/>
      <c r="D27" s="38"/>
      <c r="E27" s="38"/>
      <c r="F27" s="38"/>
      <c r="G27" s="79"/>
      <c r="H27" s="38"/>
      <c r="I27" s="38"/>
      <c r="J27" s="38">
        <f t="shared" si="14"/>
        <v>1.7456824279999998</v>
      </c>
      <c r="K27" s="38"/>
      <c r="L27" s="38"/>
      <c r="M27" s="38"/>
      <c r="N27" s="38"/>
      <c r="O27" s="79"/>
      <c r="P27" s="89"/>
    </row>
    <row r="28" spans="1:16" ht="12.75" customHeight="1">
      <c r="A28" s="15"/>
      <c r="B28" s="53"/>
      <c r="C28" s="38"/>
      <c r="D28" s="38"/>
      <c r="E28" s="38"/>
      <c r="F28" s="38"/>
      <c r="G28" s="79"/>
      <c r="H28" s="38"/>
      <c r="I28" s="38"/>
      <c r="J28" s="38"/>
      <c r="K28" s="38"/>
      <c r="L28" s="38"/>
      <c r="M28" s="38"/>
      <c r="N28" s="38"/>
      <c r="O28" s="79"/>
      <c r="P28" s="89"/>
    </row>
    <row r="29" spans="1:16" ht="12.75" customHeight="1">
      <c r="A29" s="15"/>
      <c r="B29" s="53"/>
      <c r="C29" s="38"/>
      <c r="D29" s="38"/>
      <c r="E29" s="38"/>
      <c r="F29" s="38"/>
      <c r="G29" s="79">
        <f>SUM(B29*C29*0.000345)</f>
        <v>0</v>
      </c>
      <c r="H29" s="38"/>
      <c r="I29" s="38"/>
      <c r="J29" s="38"/>
      <c r="K29" s="38"/>
      <c r="L29" s="38"/>
      <c r="M29" s="38"/>
      <c r="N29" s="38"/>
      <c r="O29" s="79">
        <f>SUM(B29*C29+F29+G29)</f>
        <v>0</v>
      </c>
      <c r="P29" s="89"/>
    </row>
    <row r="30" spans="1:16" ht="12.75" customHeight="1">
      <c r="A30" s="97">
        <v>2016</v>
      </c>
      <c r="B30" s="66">
        <f>SUM(B17:B29)</f>
        <v>55</v>
      </c>
      <c r="C30" s="30"/>
      <c r="D30" s="30"/>
      <c r="E30" s="30"/>
      <c r="F30" s="30">
        <f t="shared" ref="F30:O30" si="15">SUM(F17:F29)</f>
        <v>5</v>
      </c>
      <c r="G30" s="30">
        <f t="shared" si="15"/>
        <v>0.29430224999999999</v>
      </c>
      <c r="H30" s="30">
        <f t="shared" si="15"/>
        <v>0</v>
      </c>
      <c r="I30" s="30">
        <f t="shared" si="15"/>
        <v>0</v>
      </c>
      <c r="J30" s="30">
        <f t="shared" si="15"/>
        <v>26.064532811999999</v>
      </c>
      <c r="K30" s="30">
        <f t="shared" si="15"/>
        <v>0</v>
      </c>
      <c r="L30" s="30">
        <f t="shared" si="15"/>
        <v>0</v>
      </c>
      <c r="M30" s="30">
        <f t="shared" si="15"/>
        <v>0</v>
      </c>
      <c r="N30" s="30">
        <f t="shared" si="15"/>
        <v>0</v>
      </c>
      <c r="O30" s="30">
        <f t="shared" si="15"/>
        <v>858.34430224999994</v>
      </c>
      <c r="P30" s="30"/>
    </row>
    <row r="31" spans="1:16" ht="12.75" customHeight="1">
      <c r="A31" s="15"/>
      <c r="B31" s="53"/>
      <c r="C31" s="38"/>
      <c r="D31" s="38"/>
      <c r="E31" s="38"/>
      <c r="F31" s="38"/>
      <c r="G31" s="84"/>
      <c r="H31" s="38"/>
      <c r="I31" s="38"/>
      <c r="J31" s="38"/>
      <c r="K31" s="38"/>
      <c r="L31" s="38"/>
      <c r="M31" s="38"/>
      <c r="N31" s="38"/>
      <c r="O31" s="89"/>
      <c r="P31" s="89"/>
    </row>
    <row r="32" spans="1:16" ht="12.75" customHeight="1">
      <c r="A32" s="15"/>
      <c r="B32" s="53"/>
      <c r="C32" s="38"/>
      <c r="D32" s="38"/>
      <c r="E32" s="38"/>
      <c r="F32" s="38"/>
      <c r="G32" s="84"/>
      <c r="H32" s="38"/>
      <c r="I32" s="38"/>
      <c r="J32" s="38"/>
      <c r="K32" s="38"/>
      <c r="L32" s="38"/>
      <c r="M32" s="38"/>
      <c r="N32" s="38"/>
      <c r="O32" s="89"/>
      <c r="P32" s="89"/>
    </row>
    <row r="33" spans="1:16" ht="12.75" customHeight="1">
      <c r="A33" s="15"/>
      <c r="B33" s="53"/>
      <c r="C33" s="38"/>
      <c r="D33" s="38"/>
      <c r="E33" s="38"/>
      <c r="F33" s="38"/>
      <c r="G33" s="84"/>
      <c r="H33" s="38"/>
      <c r="I33" s="38"/>
      <c r="J33" s="38"/>
      <c r="K33" s="38"/>
      <c r="L33" s="38"/>
      <c r="M33" s="38"/>
      <c r="N33" s="38"/>
      <c r="O33" s="89"/>
      <c r="P33" s="89"/>
    </row>
    <row r="34" spans="1:16" ht="12.75" customHeight="1">
      <c r="A34" s="97"/>
      <c r="B34" s="66">
        <f>SUM(B31:B33)</f>
        <v>0</v>
      </c>
      <c r="C34" s="30"/>
      <c r="D34" s="30"/>
      <c r="E34" s="30"/>
      <c r="F34" s="30">
        <f t="shared" ref="F34:P34" si="16">SUM(F31:F33)</f>
        <v>0</v>
      </c>
      <c r="G34" s="30">
        <f t="shared" si="16"/>
        <v>0</v>
      </c>
      <c r="H34" s="30">
        <f t="shared" si="16"/>
        <v>0</v>
      </c>
      <c r="I34" s="30">
        <f t="shared" si="16"/>
        <v>0</v>
      </c>
      <c r="J34" s="30">
        <f t="shared" si="16"/>
        <v>0</v>
      </c>
      <c r="K34" s="30">
        <f t="shared" si="16"/>
        <v>0</v>
      </c>
      <c r="L34" s="30">
        <f t="shared" si="16"/>
        <v>0</v>
      </c>
      <c r="M34" s="30">
        <f t="shared" si="16"/>
        <v>0</v>
      </c>
      <c r="N34" s="30">
        <f t="shared" si="16"/>
        <v>0</v>
      </c>
      <c r="O34" s="30">
        <f t="shared" si="16"/>
        <v>0</v>
      </c>
      <c r="P34" s="30">
        <f t="shared" si="16"/>
        <v>0</v>
      </c>
    </row>
    <row r="35" spans="1:16" ht="12.75" customHeight="1">
      <c r="A35" s="15"/>
      <c r="B35" s="53"/>
      <c r="C35" s="38"/>
      <c r="D35" s="38"/>
      <c r="E35" s="38"/>
      <c r="F35" s="38"/>
      <c r="G35" s="84"/>
      <c r="H35" s="38"/>
      <c r="I35" s="38"/>
      <c r="J35" s="38"/>
      <c r="K35" s="38"/>
      <c r="L35" s="38"/>
      <c r="M35" s="38"/>
      <c r="N35" s="38"/>
      <c r="O35" s="89"/>
      <c r="P35" s="89"/>
    </row>
  </sheetData>
  <conditionalFormatting sqref="B2:P35">
    <cfRule type="cellIs" dxfId="12" priority="1" stopIfTrue="1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O16"/>
  <sheetViews>
    <sheetView workbookViewId="0">
      <pane ySplit="2" topLeftCell="A3" activePane="bottomLeft" state="frozen"/>
      <selection pane="bottomLeft" activeCell="B4" sqref="B4"/>
    </sheetView>
  </sheetViews>
  <sheetFormatPr defaultColWidth="17.28515625" defaultRowHeight="15.75" customHeight="1"/>
  <cols>
    <col min="1" max="1" width="12.5703125" customWidth="1"/>
    <col min="2" max="2" width="10.5703125" customWidth="1"/>
    <col min="3" max="3" width="11" customWidth="1"/>
    <col min="4" max="4" width="9.42578125" customWidth="1"/>
    <col min="5" max="6" width="11" customWidth="1"/>
    <col min="7" max="7" width="12.85546875" customWidth="1"/>
    <col min="8" max="8" width="11.85546875" customWidth="1"/>
    <col min="9" max="9" width="13.140625" customWidth="1"/>
    <col min="10" max="10" width="12" customWidth="1"/>
    <col min="11" max="11" width="12.42578125" customWidth="1"/>
    <col min="12" max="12" width="11.85546875" customWidth="1"/>
    <col min="13" max="13" width="13.140625" customWidth="1"/>
    <col min="14" max="14" width="12.140625" customWidth="1"/>
    <col min="15" max="15" width="12.5703125" customWidth="1"/>
  </cols>
  <sheetData>
    <row r="1" spans="1:15" ht="12.75" customHeight="1">
      <c r="A1" s="75" t="s">
        <v>40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44</v>
      </c>
      <c r="M1" s="3" t="s">
        <v>12</v>
      </c>
      <c r="N1" s="3" t="s">
        <v>13</v>
      </c>
      <c r="O1" s="3" t="s">
        <v>15</v>
      </c>
    </row>
    <row r="2" spans="1:15" ht="12.75" customHeight="1">
      <c r="A2" s="6" t="str">
        <f ca="1">IFERROR(__xludf.DUMMYFUNCTION("GOOGLEFINANCE(A1)"),"R$ 30.06")</f>
        <v>R$ 30.06</v>
      </c>
      <c r="B2" s="88" t="e">
        <f ca="1">B4+B6+B11+B15</f>
        <v>#VALUE!</v>
      </c>
      <c r="C2" s="80" t="e">
        <f ca="1">SUM((O2-F2-G2)/B2)</f>
        <v>#VALUE!</v>
      </c>
      <c r="D2" s="80" t="e">
        <f ca="1">O2/B2</f>
        <v>#VALUE!</v>
      </c>
      <c r="E2" s="80"/>
      <c r="F2" s="80">
        <f t="shared" ref="F2:O2" si="0">F4+F6+F11+F15</f>
        <v>10</v>
      </c>
      <c r="G2" s="80" t="e">
        <f t="shared" ca="1" si="0"/>
        <v>#VALUE!</v>
      </c>
      <c r="H2" s="80">
        <f t="shared" si="0"/>
        <v>58.338000000000001</v>
      </c>
      <c r="I2" s="80">
        <f t="shared" si="0"/>
        <v>0</v>
      </c>
      <c r="J2" s="80">
        <f t="shared" si="0"/>
        <v>0</v>
      </c>
      <c r="K2" s="80">
        <f t="shared" si="0"/>
        <v>0</v>
      </c>
      <c r="L2" s="80">
        <f t="shared" si="0"/>
        <v>0</v>
      </c>
      <c r="M2" s="80">
        <f t="shared" si="0"/>
        <v>0</v>
      </c>
      <c r="N2" s="80">
        <f t="shared" si="0"/>
        <v>0</v>
      </c>
      <c r="O2" s="80">
        <f t="shared" si="0"/>
        <v>1782.1511813</v>
      </c>
    </row>
    <row r="3" spans="1:15" ht="12.75" customHeight="1">
      <c r="A3" s="15">
        <f ca="1">NOW()</f>
        <v>45511.687532986114</v>
      </c>
      <c r="B3" s="90" t="e">
        <f ca="1">O3/C3</f>
        <v>#VALUE!</v>
      </c>
      <c r="C3" s="90" t="str">
        <f ca="1">A2</f>
        <v>R$ 30.06</v>
      </c>
      <c r="D3" s="91"/>
      <c r="E3" s="91"/>
      <c r="F3" s="91"/>
      <c r="G3" s="92" t="e">
        <f ca="1">SUM(B3*C3*0.000345)</f>
        <v>#VALUE!</v>
      </c>
      <c r="H3" s="91"/>
      <c r="I3" s="91"/>
      <c r="J3" s="91"/>
      <c r="K3" s="91"/>
      <c r="L3" s="91"/>
      <c r="M3" s="91"/>
      <c r="N3" s="91"/>
      <c r="O3" s="91">
        <f>P!Q5</f>
        <v>0</v>
      </c>
    </row>
    <row r="4" spans="1:15" ht="12.75" customHeight="1">
      <c r="A4" s="26" t="s">
        <v>23</v>
      </c>
      <c r="B4" s="93" t="e">
        <f ca="1">SUM(B3)</f>
        <v>#VALUE!</v>
      </c>
      <c r="C4" s="93"/>
      <c r="D4" s="93"/>
      <c r="E4" s="93"/>
      <c r="F4" s="93">
        <f t="shared" ref="F4:K4" si="1">SUM(F3)</f>
        <v>0</v>
      </c>
      <c r="G4" s="93" t="e">
        <f t="shared" ca="1" si="1"/>
        <v>#VALUE!</v>
      </c>
      <c r="H4" s="93">
        <f t="shared" si="1"/>
        <v>0</v>
      </c>
      <c r="I4" s="93">
        <f t="shared" si="1"/>
        <v>0</v>
      </c>
      <c r="J4" s="93">
        <f t="shared" si="1"/>
        <v>0</v>
      </c>
      <c r="K4" s="93">
        <f t="shared" si="1"/>
        <v>0</v>
      </c>
      <c r="L4" s="93"/>
      <c r="M4" s="93">
        <f t="shared" ref="M4:O4" si="2">SUM(M3)</f>
        <v>0</v>
      </c>
      <c r="N4" s="93">
        <f t="shared" si="2"/>
        <v>0</v>
      </c>
      <c r="O4" s="93">
        <f t="shared" si="2"/>
        <v>0</v>
      </c>
    </row>
    <row r="5" spans="1:15" ht="12.75" customHeight="1">
      <c r="A5" s="15">
        <v>42339</v>
      </c>
      <c r="B5">
        <v>29</v>
      </c>
      <c r="C5" s="91">
        <v>26.69</v>
      </c>
      <c r="D5" s="91">
        <f>O5/B5</f>
        <v>26.871621843103448</v>
      </c>
      <c r="E5" s="91"/>
      <c r="F5" s="91">
        <v>5</v>
      </c>
      <c r="G5" s="92">
        <f>SUM(B5*C5*0.000345)</f>
        <v>0.26703345000000001</v>
      </c>
      <c r="H5" s="91"/>
      <c r="I5" s="91"/>
      <c r="J5" s="91"/>
      <c r="K5" s="91"/>
      <c r="L5" s="91"/>
      <c r="M5" s="91"/>
      <c r="N5" s="91"/>
      <c r="O5" s="91">
        <f>SUM(B5*C5+G5+F5)</f>
        <v>779.27703344999998</v>
      </c>
    </row>
    <row r="6" spans="1:15" ht="12.75" customHeight="1">
      <c r="A6" s="26">
        <v>2015</v>
      </c>
      <c r="B6" s="95">
        <f>SUM(B5)</f>
        <v>29</v>
      </c>
      <c r="C6" s="93">
        <f>O6/B6</f>
        <v>26.871621843103448</v>
      </c>
      <c r="D6" s="93">
        <f>SUM((O6/B6))</f>
        <v>26.871621843103448</v>
      </c>
      <c r="E6" s="93"/>
      <c r="F6" s="93">
        <f>SUM(F5)</f>
        <v>5</v>
      </c>
      <c r="G6" s="93" t="e">
        <f t="shared" ref="G6:K6" ca="1" si="3">SUM(G3:G5)</f>
        <v>#VALUE!</v>
      </c>
      <c r="H6" s="93">
        <f t="shared" si="3"/>
        <v>0</v>
      </c>
      <c r="I6" s="93">
        <f t="shared" si="3"/>
        <v>0</v>
      </c>
      <c r="J6" s="93">
        <f t="shared" si="3"/>
        <v>0</v>
      </c>
      <c r="K6" s="93">
        <f t="shared" si="3"/>
        <v>0</v>
      </c>
      <c r="L6" s="93"/>
      <c r="M6" s="93">
        <f t="shared" ref="M6:N6" si="4">SUM(M3:M5)</f>
        <v>0</v>
      </c>
      <c r="N6" s="93">
        <f t="shared" si="4"/>
        <v>0</v>
      </c>
      <c r="O6" s="93">
        <f>SUM(O5)</f>
        <v>779.27703344999998</v>
      </c>
    </row>
    <row r="7" spans="1:15" ht="12.75" customHeight="1">
      <c r="A7" s="15">
        <v>42373</v>
      </c>
      <c r="B7">
        <v>41</v>
      </c>
      <c r="C7" s="91">
        <v>24.33</v>
      </c>
      <c r="D7" s="91"/>
      <c r="E7" s="91"/>
      <c r="F7" s="91">
        <v>5</v>
      </c>
      <c r="G7" s="92">
        <f t="shared" ref="G7:G10" si="5">SUM(B7*C7*0.000345)</f>
        <v>0.34414784999999998</v>
      </c>
      <c r="H7" s="98"/>
      <c r="I7" s="91"/>
      <c r="J7" s="91"/>
      <c r="K7" s="91"/>
      <c r="L7" s="91"/>
      <c r="M7" s="91"/>
      <c r="N7" s="91"/>
      <c r="O7" s="79">
        <f t="shared" ref="O7:O10" si="6">SUM(B7*C7+G7+F7)</f>
        <v>1002.87414785</v>
      </c>
    </row>
    <row r="8" spans="1:15" ht="12.75" customHeight="1">
      <c r="A8" s="15">
        <v>42436</v>
      </c>
      <c r="C8" s="91"/>
      <c r="D8" s="91"/>
      <c r="E8" s="91"/>
      <c r="F8" s="91"/>
      <c r="G8" s="92">
        <f t="shared" si="5"/>
        <v>0</v>
      </c>
      <c r="H8" s="91">
        <f>70*0.8334</f>
        <v>58.338000000000001</v>
      </c>
      <c r="I8" s="91"/>
      <c r="J8" s="91"/>
      <c r="K8" s="91"/>
      <c r="L8" s="91"/>
      <c r="M8" s="91"/>
      <c r="N8" s="91"/>
      <c r="O8" s="79">
        <f t="shared" si="6"/>
        <v>0</v>
      </c>
    </row>
    <row r="9" spans="1:15" ht="12.75" customHeight="1">
      <c r="A9" s="15"/>
      <c r="C9" s="91"/>
      <c r="D9" s="91"/>
      <c r="E9" s="91"/>
      <c r="F9" s="91"/>
      <c r="G9" s="92">
        <f t="shared" si="5"/>
        <v>0</v>
      </c>
      <c r="H9" s="91"/>
      <c r="I9" s="91"/>
      <c r="J9" s="91"/>
      <c r="K9" s="91"/>
      <c r="L9" s="91"/>
      <c r="M9" s="91"/>
      <c r="N9" s="91"/>
      <c r="O9" s="79">
        <f t="shared" si="6"/>
        <v>0</v>
      </c>
    </row>
    <row r="10" spans="1:15" ht="12.75" customHeight="1">
      <c r="A10" s="15"/>
      <c r="C10" s="91"/>
      <c r="D10" s="91"/>
      <c r="E10" s="91"/>
      <c r="F10" s="91"/>
      <c r="G10" s="92">
        <f t="shared" si="5"/>
        <v>0</v>
      </c>
      <c r="H10" s="91"/>
      <c r="I10" s="91"/>
      <c r="J10" s="91"/>
      <c r="K10" s="91"/>
      <c r="L10" s="91"/>
      <c r="M10" s="91"/>
      <c r="N10" s="91"/>
      <c r="O10" s="79">
        <f t="shared" si="6"/>
        <v>0</v>
      </c>
    </row>
    <row r="11" spans="1:15" ht="12.75" customHeight="1">
      <c r="A11" s="26">
        <v>2016</v>
      </c>
      <c r="B11" s="95">
        <f>SUM(B7:B10)</f>
        <v>41</v>
      </c>
      <c r="C11" s="93">
        <f>SUM((O11-F11-G11)/B11)</f>
        <v>24.33</v>
      </c>
      <c r="D11" s="93">
        <f>SUM((O11/B11))</f>
        <v>24.460345069512194</v>
      </c>
      <c r="E11" s="93"/>
      <c r="F11" s="93">
        <f t="shared" ref="F11:O11" si="7">SUM(F7:F10)</f>
        <v>5</v>
      </c>
      <c r="G11" s="93">
        <f t="shared" si="7"/>
        <v>0.34414784999999998</v>
      </c>
      <c r="H11" s="93">
        <f t="shared" si="7"/>
        <v>58.338000000000001</v>
      </c>
      <c r="I11" s="93">
        <f t="shared" si="7"/>
        <v>0</v>
      </c>
      <c r="J11" s="93">
        <f t="shared" si="7"/>
        <v>0</v>
      </c>
      <c r="K11" s="93">
        <f t="shared" si="7"/>
        <v>0</v>
      </c>
      <c r="L11" s="93">
        <f t="shared" si="7"/>
        <v>0</v>
      </c>
      <c r="M11" s="93">
        <f t="shared" si="7"/>
        <v>0</v>
      </c>
      <c r="N11" s="93">
        <f t="shared" si="7"/>
        <v>0</v>
      </c>
      <c r="O11" s="93">
        <f t="shared" si="7"/>
        <v>1002.87414785</v>
      </c>
    </row>
    <row r="12" spans="1:15" ht="12.75" customHeight="1">
      <c r="A12" s="15"/>
      <c r="C12" s="91"/>
      <c r="D12" s="91"/>
      <c r="E12" s="91"/>
      <c r="F12" s="91"/>
      <c r="G12" s="92"/>
      <c r="H12" s="91"/>
      <c r="I12" s="91"/>
      <c r="J12" s="91"/>
      <c r="K12" s="91"/>
      <c r="L12" s="91"/>
      <c r="M12" s="91"/>
      <c r="N12" s="91"/>
      <c r="O12" s="102"/>
    </row>
    <row r="13" spans="1:15" ht="12.75" customHeight="1">
      <c r="A13" s="15"/>
      <c r="C13" s="91"/>
      <c r="D13" s="91"/>
      <c r="E13" s="91"/>
      <c r="F13" s="91"/>
      <c r="G13" s="92"/>
      <c r="H13" s="91"/>
      <c r="I13" s="91"/>
      <c r="J13" s="91"/>
      <c r="K13" s="91"/>
      <c r="L13" s="91"/>
      <c r="M13" s="91"/>
      <c r="N13" s="91"/>
      <c r="O13" s="102"/>
    </row>
    <row r="14" spans="1:15" ht="12.75" customHeight="1">
      <c r="A14" s="15"/>
      <c r="C14" s="91"/>
      <c r="D14" s="91"/>
      <c r="E14" s="91"/>
      <c r="F14" s="91"/>
      <c r="G14" s="92"/>
      <c r="H14" s="91"/>
      <c r="I14" s="91"/>
      <c r="J14" s="91"/>
      <c r="K14" s="91"/>
      <c r="L14" s="91"/>
      <c r="M14" s="91"/>
      <c r="N14" s="91"/>
      <c r="O14" s="102"/>
    </row>
    <row r="15" spans="1:15" ht="12.75" customHeight="1">
      <c r="A15" s="26"/>
      <c r="B15" s="103">
        <f>SUM(B12:B14)</f>
        <v>0</v>
      </c>
      <c r="C15" s="93" t="e">
        <f>SUM((#REF!/B15))</f>
        <v>#REF!</v>
      </c>
      <c r="D15" s="93" t="e">
        <f>SUM((O15/B15))</f>
        <v>#DIV/0!</v>
      </c>
      <c r="E15" s="93"/>
      <c r="F15" s="93">
        <f t="shared" ref="F15:O15" si="8">SUM(F12:F14)</f>
        <v>0</v>
      </c>
      <c r="G15" s="93">
        <f t="shared" si="8"/>
        <v>0</v>
      </c>
      <c r="H15" s="93">
        <f t="shared" si="8"/>
        <v>0</v>
      </c>
      <c r="I15" s="93">
        <f t="shared" si="8"/>
        <v>0</v>
      </c>
      <c r="J15" s="93">
        <f t="shared" si="8"/>
        <v>0</v>
      </c>
      <c r="K15" s="93">
        <f t="shared" si="8"/>
        <v>0</v>
      </c>
      <c r="L15" s="93">
        <f t="shared" si="8"/>
        <v>0</v>
      </c>
      <c r="M15" s="93">
        <f t="shared" si="8"/>
        <v>0</v>
      </c>
      <c r="N15" s="93">
        <f t="shared" si="8"/>
        <v>0</v>
      </c>
      <c r="O15" s="93">
        <f t="shared" si="8"/>
        <v>0</v>
      </c>
    </row>
    <row r="16" spans="1:15" ht="12.75" customHeight="1">
      <c r="A16" s="15"/>
      <c r="C16" s="91"/>
      <c r="D16" s="91"/>
      <c r="E16" s="91"/>
      <c r="F16" s="91"/>
      <c r="G16" s="92"/>
      <c r="H16" s="91"/>
      <c r="I16" s="91"/>
      <c r="J16" s="91"/>
      <c r="K16" s="91"/>
      <c r="L16" s="91"/>
      <c r="M16" s="91"/>
      <c r="N16" s="91"/>
      <c r="O16" s="102"/>
    </row>
  </sheetData>
  <conditionalFormatting sqref="B2:O16">
    <cfRule type="cellIs" dxfId="11" priority="1" stopIfTrue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6"/>
  <dimension ref="A1:P26"/>
  <sheetViews>
    <sheetView workbookViewId="0">
      <pane ySplit="2" topLeftCell="A3" activePane="bottomLeft" state="frozen"/>
      <selection pane="bottomLeft" activeCell="B4" sqref="B4"/>
    </sheetView>
  </sheetViews>
  <sheetFormatPr defaultColWidth="17.28515625" defaultRowHeight="15.75" customHeight="1"/>
  <cols>
    <col min="1" max="1" width="12.5703125" customWidth="1"/>
    <col min="2" max="2" width="10.5703125" customWidth="1"/>
    <col min="3" max="3" width="11" customWidth="1"/>
    <col min="4" max="4" width="9.42578125" customWidth="1"/>
    <col min="5" max="6" width="11" customWidth="1"/>
    <col min="7" max="7" width="12.85546875" customWidth="1"/>
    <col min="8" max="8" width="11.85546875" customWidth="1"/>
    <col min="9" max="9" width="13.140625" customWidth="1"/>
    <col min="10" max="10" width="12" customWidth="1"/>
    <col min="11" max="11" width="12.42578125" customWidth="1"/>
    <col min="12" max="12" width="11.85546875" customWidth="1"/>
    <col min="13" max="13" width="13.140625" customWidth="1"/>
    <col min="14" max="14" width="12.140625" customWidth="1"/>
    <col min="15" max="15" width="13.28515625" customWidth="1"/>
    <col min="16" max="16" width="12.5703125" customWidth="1"/>
  </cols>
  <sheetData>
    <row r="1" spans="1:16" ht="12.75" customHeight="1">
      <c r="A1" s="106" t="s">
        <v>60</v>
      </c>
      <c r="B1" s="108" t="s">
        <v>1</v>
      </c>
      <c r="C1" s="108" t="s">
        <v>62</v>
      </c>
      <c r="D1" s="108" t="s">
        <v>4</v>
      </c>
      <c r="E1" s="108" t="s">
        <v>5</v>
      </c>
      <c r="F1" s="108" t="s">
        <v>6</v>
      </c>
      <c r="G1" s="108" t="s">
        <v>7</v>
      </c>
      <c r="H1" s="108" t="s">
        <v>8</v>
      </c>
      <c r="I1" s="108" t="s">
        <v>9</v>
      </c>
      <c r="J1" s="108" t="s">
        <v>10</v>
      </c>
      <c r="K1" s="108" t="s">
        <v>11</v>
      </c>
      <c r="L1" s="108" t="s">
        <v>44</v>
      </c>
      <c r="M1" s="3" t="s">
        <v>12</v>
      </c>
      <c r="N1" s="108" t="s">
        <v>13</v>
      </c>
      <c r="O1" s="108" t="s">
        <v>15</v>
      </c>
      <c r="P1" s="108"/>
    </row>
    <row r="2" spans="1:16" ht="12.75" customHeight="1">
      <c r="A2" s="6" t="str">
        <f ca="1">IFERROR(__xludf.DUMMYFUNCTION("GOOGLEFINANCE(A1)"),"R$ 17.51")</f>
        <v>R$ 17.51</v>
      </c>
      <c r="B2" s="80" t="e">
        <f ca="1">B4+B12+B21+B25</f>
        <v>#VALUE!</v>
      </c>
      <c r="C2" s="80" t="e">
        <f ca="1">O2/B2</f>
        <v>#VALUE!</v>
      </c>
      <c r="D2" s="80" t="e">
        <f ca="1">O2/B2</f>
        <v>#VALUE!</v>
      </c>
      <c r="E2" s="80"/>
      <c r="F2" s="80">
        <f t="shared" ref="F2:O2" si="0">F4+F12+F21+F25</f>
        <v>40</v>
      </c>
      <c r="G2" s="80">
        <f t="shared" si="0"/>
        <v>1.4610128999999998</v>
      </c>
      <c r="H2" s="80">
        <f t="shared" si="0"/>
        <v>42.044549119999999</v>
      </c>
      <c r="I2" s="80">
        <f t="shared" si="0"/>
        <v>0</v>
      </c>
      <c r="J2" s="80">
        <f t="shared" si="0"/>
        <v>107.48462881999998</v>
      </c>
      <c r="K2" s="80">
        <f t="shared" si="0"/>
        <v>0</v>
      </c>
      <c r="L2" s="80">
        <f t="shared" si="0"/>
        <v>0</v>
      </c>
      <c r="M2" s="80">
        <f t="shared" si="0"/>
        <v>0</v>
      </c>
      <c r="N2" s="80">
        <f t="shared" si="0"/>
        <v>4.6924099999999989</v>
      </c>
      <c r="O2" s="80">
        <f t="shared" si="0"/>
        <v>3060.1602194999996</v>
      </c>
      <c r="P2" s="80"/>
    </row>
    <row r="3" spans="1:16" ht="12.75" customHeight="1">
      <c r="A3" s="15">
        <f ca="1">NOW()</f>
        <v>45511.687532986114</v>
      </c>
      <c r="B3" s="60" t="e">
        <f ca="1">O3/C3</f>
        <v>#VALUE!</v>
      </c>
      <c r="C3" s="60" t="str">
        <f ca="1">A2</f>
        <v>R$ 17.51</v>
      </c>
      <c r="D3" s="38"/>
      <c r="E3" s="38"/>
      <c r="F3" s="38">
        <v>5</v>
      </c>
      <c r="G3" s="22">
        <f>O3*0.000345</f>
        <v>0</v>
      </c>
      <c r="H3" s="38"/>
      <c r="I3" s="38"/>
      <c r="J3" s="38"/>
      <c r="K3" s="38"/>
      <c r="L3" s="38"/>
      <c r="M3" s="38"/>
      <c r="N3" s="38"/>
      <c r="O3" s="38">
        <f>P!Q6</f>
        <v>0</v>
      </c>
      <c r="P3" s="38"/>
    </row>
    <row r="4" spans="1:16" ht="12.75" customHeight="1">
      <c r="A4" s="97" t="s">
        <v>23</v>
      </c>
      <c r="B4" s="30" t="e">
        <f t="shared" ref="B4:C4" ca="1" si="1">B3</f>
        <v>#VALUE!</v>
      </c>
      <c r="C4" s="30" t="str">
        <f t="shared" ca="1" si="1"/>
        <v>R$ 17.51</v>
      </c>
      <c r="D4" s="30"/>
      <c r="E4" s="30"/>
      <c r="F4" s="30">
        <f t="shared" ref="F4:N4" si="2">SUM(F5:F11)</f>
        <v>10</v>
      </c>
      <c r="G4" s="30">
        <f t="shared" si="2"/>
        <v>0.40079339999999997</v>
      </c>
      <c r="H4" s="30">
        <f t="shared" si="2"/>
        <v>21.02227456</v>
      </c>
      <c r="I4" s="30">
        <f t="shared" si="2"/>
        <v>0</v>
      </c>
      <c r="J4" s="30">
        <f t="shared" si="2"/>
        <v>40.075493449999996</v>
      </c>
      <c r="K4" s="30">
        <f t="shared" si="2"/>
        <v>0</v>
      </c>
      <c r="L4" s="30">
        <f t="shared" si="2"/>
        <v>0</v>
      </c>
      <c r="M4" s="30">
        <f t="shared" si="2"/>
        <v>0</v>
      </c>
      <c r="N4" s="30">
        <f t="shared" si="2"/>
        <v>0</v>
      </c>
      <c r="O4" s="30">
        <f>O3</f>
        <v>0</v>
      </c>
      <c r="P4" s="30"/>
    </row>
    <row r="5" spans="1:16" ht="12.75" customHeight="1">
      <c r="A5" s="15">
        <v>42065</v>
      </c>
      <c r="B5" s="86">
        <v>40</v>
      </c>
      <c r="C5" s="37">
        <v>9.68</v>
      </c>
      <c r="D5" s="38">
        <f>P5/B5</f>
        <v>0</v>
      </c>
      <c r="E5" s="37"/>
      <c r="F5" s="37">
        <v>5</v>
      </c>
      <c r="G5" s="24">
        <f t="shared" ref="G5:G11" si="3">SUM(B5*C5*0.000345)</f>
        <v>0.13358399999999998</v>
      </c>
      <c r="H5" s="37"/>
      <c r="I5" s="37"/>
      <c r="J5" s="37"/>
      <c r="K5" s="37"/>
      <c r="L5" s="37"/>
      <c r="M5" s="37"/>
      <c r="N5" s="37"/>
      <c r="O5" s="38">
        <f t="shared" ref="O5:O11" si="4">B5*C5+F5+G5</f>
        <v>392.33358399999997</v>
      </c>
      <c r="P5" s="38"/>
    </row>
    <row r="6" spans="1:16" ht="12.75" customHeight="1">
      <c r="A6" s="15">
        <v>42122</v>
      </c>
      <c r="B6" s="86"/>
      <c r="C6" s="37"/>
      <c r="D6" s="38"/>
      <c r="E6" s="37"/>
      <c r="F6" s="37"/>
      <c r="G6" s="24">
        <f t="shared" si="3"/>
        <v>0</v>
      </c>
      <c r="H6" s="37"/>
      <c r="I6" s="37"/>
      <c r="J6" s="37">
        <f>40*0.10316344</f>
        <v>4.1265375999999998</v>
      </c>
      <c r="K6" s="37"/>
      <c r="L6" s="37"/>
      <c r="M6" s="37"/>
      <c r="N6" s="37"/>
      <c r="O6" s="38">
        <f t="shared" si="4"/>
        <v>0</v>
      </c>
      <c r="P6" s="38"/>
    </row>
    <row r="7" spans="1:16" ht="12.75" customHeight="1">
      <c r="A7" s="15">
        <v>42153</v>
      </c>
      <c r="B7" s="86"/>
      <c r="C7" s="37"/>
      <c r="D7" s="38"/>
      <c r="E7" s="37"/>
      <c r="F7" s="37"/>
      <c r="G7" s="24">
        <f t="shared" si="3"/>
        <v>0</v>
      </c>
      <c r="H7" s="37">
        <f>40*0.12411084</f>
        <v>4.9644335999999996</v>
      </c>
      <c r="I7" s="37"/>
      <c r="J7" s="37"/>
      <c r="K7" s="37"/>
      <c r="L7" s="37"/>
      <c r="M7" s="37"/>
      <c r="N7" s="37"/>
      <c r="O7" s="38">
        <f t="shared" si="4"/>
        <v>0</v>
      </c>
      <c r="P7" s="38"/>
    </row>
    <row r="8" spans="1:16" ht="12.75" customHeight="1">
      <c r="A8" s="15">
        <v>42186</v>
      </c>
      <c r="B8" s="86">
        <v>67</v>
      </c>
      <c r="C8" s="37">
        <v>11.56</v>
      </c>
      <c r="D8" s="38"/>
      <c r="E8" s="37"/>
      <c r="F8" s="37">
        <v>5</v>
      </c>
      <c r="G8" s="24">
        <f t="shared" si="3"/>
        <v>0.26720939999999999</v>
      </c>
      <c r="H8" s="37"/>
      <c r="I8" s="37"/>
      <c r="J8" s="37"/>
      <c r="K8" s="37"/>
      <c r="L8" s="37"/>
      <c r="M8" s="37"/>
      <c r="N8" s="37"/>
      <c r="O8" s="38">
        <f t="shared" si="4"/>
        <v>779.78720939999994</v>
      </c>
      <c r="P8" s="38"/>
    </row>
    <row r="9" spans="1:16" ht="12.75" customHeight="1">
      <c r="A9" s="15">
        <v>42255</v>
      </c>
      <c r="B9" s="86"/>
      <c r="C9" s="37"/>
      <c r="D9" s="38"/>
      <c r="E9" s="37"/>
      <c r="F9" s="37"/>
      <c r="G9" s="24">
        <f t="shared" si="3"/>
        <v>0</v>
      </c>
      <c r="H9" s="37"/>
      <c r="I9" s="37"/>
      <c r="J9" s="37">
        <f>107*0.12133652</f>
        <v>12.98300764</v>
      </c>
      <c r="K9" s="37"/>
      <c r="L9" s="37"/>
      <c r="M9" s="37"/>
      <c r="N9" s="37"/>
      <c r="O9" s="38">
        <f t="shared" si="4"/>
        <v>0</v>
      </c>
      <c r="P9" s="38"/>
    </row>
    <row r="10" spans="1:16" ht="12.75" customHeight="1">
      <c r="A10" s="15">
        <v>42342</v>
      </c>
      <c r="B10" s="86"/>
      <c r="C10" s="37"/>
      <c r="D10" s="38"/>
      <c r="E10" s="37"/>
      <c r="F10" s="37"/>
      <c r="G10" s="24">
        <f t="shared" si="3"/>
        <v>0</v>
      </c>
      <c r="H10" s="37">
        <f>107*0.15007328</f>
        <v>16.05784096</v>
      </c>
      <c r="I10" s="37"/>
      <c r="J10" s="37"/>
      <c r="K10" s="37"/>
      <c r="L10" s="37"/>
      <c r="M10" s="37"/>
      <c r="N10" s="37"/>
      <c r="O10" s="38">
        <f t="shared" si="4"/>
        <v>0</v>
      </c>
      <c r="P10" s="38"/>
    </row>
    <row r="11" spans="1:16" ht="12.75" customHeight="1">
      <c r="A11" s="15">
        <v>42733</v>
      </c>
      <c r="B11" s="86"/>
      <c r="C11" s="37"/>
      <c r="D11" s="38"/>
      <c r="E11" s="37"/>
      <c r="F11" s="37"/>
      <c r="G11" s="24">
        <f t="shared" si="3"/>
        <v>0</v>
      </c>
      <c r="H11" s="37"/>
      <c r="I11" s="37"/>
      <c r="J11" s="37">
        <f>107*0.21463503</f>
        <v>22.965948210000001</v>
      </c>
      <c r="K11" s="37"/>
      <c r="L11" s="37"/>
      <c r="M11" s="37"/>
      <c r="N11" s="37"/>
      <c r="O11" s="38">
        <f t="shared" si="4"/>
        <v>0</v>
      </c>
      <c r="P11" s="38"/>
    </row>
    <row r="12" spans="1:16" ht="12.75" customHeight="1">
      <c r="A12" s="97">
        <v>2015</v>
      </c>
      <c r="B12" s="66">
        <f>SUM(B5:B11)</f>
        <v>107</v>
      </c>
      <c r="C12" s="30">
        <f>SUM((O12/B12))</f>
        <v>10.954399938317756</v>
      </c>
      <c r="D12" s="30">
        <f>SUM((P12/B12))</f>
        <v>0</v>
      </c>
      <c r="E12" s="30"/>
      <c r="F12" s="30">
        <f t="shared" ref="F12:O12" si="5">SUM(F5:F11)</f>
        <v>10</v>
      </c>
      <c r="G12" s="30">
        <f t="shared" si="5"/>
        <v>0.40079339999999997</v>
      </c>
      <c r="H12" s="30">
        <f t="shared" si="5"/>
        <v>21.02227456</v>
      </c>
      <c r="I12" s="30">
        <f t="shared" si="5"/>
        <v>0</v>
      </c>
      <c r="J12" s="30">
        <f t="shared" si="5"/>
        <v>40.075493449999996</v>
      </c>
      <c r="K12" s="30">
        <f t="shared" si="5"/>
        <v>0</v>
      </c>
      <c r="L12" s="30">
        <f t="shared" si="5"/>
        <v>0</v>
      </c>
      <c r="M12" s="30">
        <f t="shared" si="5"/>
        <v>0</v>
      </c>
      <c r="N12" s="30">
        <f t="shared" si="5"/>
        <v>0</v>
      </c>
      <c r="O12" s="30">
        <f t="shared" si="5"/>
        <v>1172.1207933999999</v>
      </c>
      <c r="P12" s="30"/>
    </row>
    <row r="13" spans="1:16" ht="12.75" customHeight="1">
      <c r="A13" s="15">
        <v>42446</v>
      </c>
      <c r="B13" s="53">
        <v>-2</v>
      </c>
      <c r="C13" s="38">
        <v>11</v>
      </c>
      <c r="D13" s="38"/>
      <c r="E13" s="38">
        <v>15.85</v>
      </c>
      <c r="F13" s="38">
        <v>5</v>
      </c>
      <c r="G13" s="24">
        <f>SUM(B13*C13*0.000345)*-1</f>
        <v>7.5899999999999995E-3</v>
      </c>
      <c r="H13" s="38"/>
      <c r="I13" s="38"/>
      <c r="J13" s="38"/>
      <c r="K13" s="38"/>
      <c r="L13" s="120"/>
      <c r="M13" s="38"/>
      <c r="N13" s="24">
        <f>(B13*C13)-(B13*E13)-F13-G13</f>
        <v>4.6924099999999989</v>
      </c>
      <c r="O13" s="38">
        <f t="shared" ref="O13:O16" si="6">B13*C13+F13+G13</f>
        <v>-16.99241</v>
      </c>
      <c r="P13" s="55"/>
    </row>
    <row r="14" spans="1:16" ht="12.75" customHeight="1">
      <c r="A14" s="15">
        <v>42446</v>
      </c>
      <c r="B14" s="53">
        <v>2</v>
      </c>
      <c r="C14" s="38">
        <v>15.85</v>
      </c>
      <c r="D14" s="38"/>
      <c r="E14" s="38"/>
      <c r="F14" s="38">
        <v>5</v>
      </c>
      <c r="G14" s="24">
        <f t="shared" ref="G14:G16" si="7">SUM(B14*C14*0.000345)</f>
        <v>1.09365E-2</v>
      </c>
      <c r="H14" s="38"/>
      <c r="I14" s="38"/>
      <c r="J14" s="38"/>
      <c r="K14" s="38"/>
      <c r="L14" s="38"/>
      <c r="M14" s="38"/>
      <c r="N14" s="38"/>
      <c r="O14" s="38">
        <f t="shared" si="6"/>
        <v>36.710936500000003</v>
      </c>
      <c r="P14" s="55"/>
    </row>
    <row r="15" spans="1:16" ht="12.75" customHeight="1">
      <c r="A15" s="15">
        <v>42531</v>
      </c>
      <c r="B15" s="53"/>
      <c r="C15" s="38"/>
      <c r="D15" s="38"/>
      <c r="E15" s="38"/>
      <c r="F15" s="38"/>
      <c r="G15" s="24">
        <f t="shared" si="7"/>
        <v>0</v>
      </c>
      <c r="H15" s="38"/>
      <c r="I15" s="38"/>
      <c r="J15" s="79">
        <f>0.08072711*107</f>
        <v>8.6378007700000001</v>
      </c>
      <c r="K15" s="38"/>
      <c r="L15" s="38"/>
      <c r="M15" s="38"/>
      <c r="N15" s="38"/>
      <c r="O15" s="38">
        <f t="shared" si="6"/>
        <v>0</v>
      </c>
      <c r="P15" s="55"/>
    </row>
    <row r="16" spans="1:16" ht="12.75" customHeight="1">
      <c r="A16" s="15">
        <v>42583</v>
      </c>
      <c r="B16" s="53">
        <v>48</v>
      </c>
      <c r="C16" s="38">
        <v>19.09</v>
      </c>
      <c r="D16" s="38">
        <f>O16/B16</f>
        <v>19.200752716666667</v>
      </c>
      <c r="E16" s="38"/>
      <c r="F16" s="38">
        <v>5</v>
      </c>
      <c r="G16" s="24">
        <f t="shared" si="7"/>
        <v>0.31613039999999998</v>
      </c>
      <c r="H16" s="38"/>
      <c r="I16" s="38"/>
      <c r="J16" s="38"/>
      <c r="K16" s="38"/>
      <c r="L16" s="38"/>
      <c r="M16" s="38"/>
      <c r="N16" s="38"/>
      <c r="O16" s="38">
        <f t="shared" si="6"/>
        <v>921.63613039999996</v>
      </c>
      <c r="P16" s="55"/>
    </row>
    <row r="17" spans="1:16" ht="12.75" customHeight="1">
      <c r="A17" s="15">
        <v>42619</v>
      </c>
      <c r="B17" s="53"/>
      <c r="C17" s="38"/>
      <c r="D17" s="38"/>
      <c r="E17" s="38"/>
      <c r="F17" s="38"/>
      <c r="G17" s="24"/>
      <c r="H17" s="38"/>
      <c r="I17" s="38"/>
      <c r="J17" s="38">
        <f>155*0.12061833</f>
        <v>18.69584115</v>
      </c>
      <c r="K17" s="38"/>
      <c r="L17" s="38"/>
      <c r="M17" s="38"/>
      <c r="N17" s="38"/>
      <c r="O17" s="38"/>
      <c r="P17" s="55"/>
    </row>
    <row r="18" spans="1:16" ht="12.75" customHeight="1">
      <c r="A18" s="15">
        <v>42646</v>
      </c>
      <c r="B18" s="53">
        <v>56</v>
      </c>
      <c r="C18" s="38">
        <v>16.809999999999999</v>
      </c>
      <c r="D18" s="38">
        <f>O18/B18</f>
        <v>16.905085164285712</v>
      </c>
      <c r="E18" s="38"/>
      <c r="F18" s="38">
        <v>5</v>
      </c>
      <c r="G18" s="24">
        <f>SUM(B18*C18*0.000345)</f>
        <v>0.32476919999999992</v>
      </c>
      <c r="H18" s="38"/>
      <c r="I18" s="38"/>
      <c r="J18" s="38"/>
      <c r="K18" s="38"/>
      <c r="L18" s="38"/>
      <c r="M18" s="38"/>
      <c r="N18" s="38"/>
      <c r="O18" s="38">
        <f>B18*C18+F18+G18</f>
        <v>946.68476919999989</v>
      </c>
      <c r="P18" s="55"/>
    </row>
    <row r="19" spans="1:16" ht="12.75" customHeight="1">
      <c r="A19" s="15"/>
      <c r="B19" s="53"/>
      <c r="C19" s="38"/>
      <c r="D19" s="38"/>
      <c r="E19" s="38"/>
      <c r="F19" s="38"/>
      <c r="G19" s="24"/>
      <c r="H19" s="38"/>
      <c r="I19" s="38"/>
      <c r="J19" s="38"/>
      <c r="K19" s="38"/>
      <c r="L19" s="38"/>
      <c r="M19" s="38"/>
      <c r="N19" s="38"/>
      <c r="O19" s="38"/>
      <c r="P19" s="55"/>
    </row>
    <row r="20" spans="1:16" ht="12.75" customHeight="1">
      <c r="A20" s="15"/>
      <c r="B20" s="53"/>
      <c r="C20" s="38"/>
      <c r="D20" s="38"/>
      <c r="E20" s="38"/>
      <c r="F20" s="38"/>
      <c r="G20" s="24">
        <f>SUM(B20*C20*0.000345)</f>
        <v>0</v>
      </c>
      <c r="H20" s="38"/>
      <c r="I20" s="38"/>
      <c r="J20" s="38"/>
      <c r="K20" s="38"/>
      <c r="L20" s="38"/>
      <c r="M20" s="38"/>
      <c r="N20" s="38"/>
      <c r="O20" s="38">
        <f>B20*C20+F20+G20</f>
        <v>0</v>
      </c>
      <c r="P20" s="55"/>
    </row>
    <row r="21" spans="1:16" ht="12.75" customHeight="1">
      <c r="A21" s="97">
        <v>2016</v>
      </c>
      <c r="B21" s="66">
        <f>SUM(B13:B20)</f>
        <v>104</v>
      </c>
      <c r="C21" s="30"/>
      <c r="D21" s="30"/>
      <c r="E21" s="30"/>
      <c r="F21" s="30">
        <f t="shared" ref="F21:O21" si="8">SUM(F13:F20)</f>
        <v>20</v>
      </c>
      <c r="G21" s="30">
        <f t="shared" si="8"/>
        <v>0.6594260999999999</v>
      </c>
      <c r="H21" s="30">
        <f t="shared" si="8"/>
        <v>0</v>
      </c>
      <c r="I21" s="30">
        <f t="shared" si="8"/>
        <v>0</v>
      </c>
      <c r="J21" s="30">
        <f t="shared" si="8"/>
        <v>27.333641919999998</v>
      </c>
      <c r="K21" s="30">
        <f t="shared" si="8"/>
        <v>0</v>
      </c>
      <c r="L21" s="30">
        <f t="shared" si="8"/>
        <v>0</v>
      </c>
      <c r="M21" s="30">
        <f t="shared" si="8"/>
        <v>0</v>
      </c>
      <c r="N21" s="30">
        <f t="shared" si="8"/>
        <v>4.6924099999999989</v>
      </c>
      <c r="O21" s="30">
        <f t="shared" si="8"/>
        <v>1888.0394260999999</v>
      </c>
      <c r="P21" s="30"/>
    </row>
    <row r="22" spans="1:16" ht="12.75" customHeight="1">
      <c r="A22" s="15"/>
      <c r="B22" s="53"/>
      <c r="C22" s="38"/>
      <c r="D22" s="38"/>
      <c r="E22" s="38"/>
      <c r="F22" s="38"/>
      <c r="G22" s="22"/>
      <c r="H22" s="38"/>
      <c r="I22" s="38"/>
      <c r="J22" s="38"/>
      <c r="K22" s="38"/>
      <c r="L22" s="38"/>
      <c r="M22" s="38"/>
      <c r="N22" s="38"/>
      <c r="O22" s="38"/>
      <c r="P22" s="55"/>
    </row>
    <row r="23" spans="1:16" ht="12.75" customHeight="1">
      <c r="A23" s="15"/>
      <c r="B23" s="53"/>
      <c r="C23" s="38"/>
      <c r="D23" s="38"/>
      <c r="E23" s="38"/>
      <c r="F23" s="38"/>
      <c r="G23" s="22"/>
      <c r="H23" s="38"/>
      <c r="I23" s="38"/>
      <c r="J23" s="38"/>
      <c r="K23" s="38"/>
      <c r="L23" s="38"/>
      <c r="M23" s="38"/>
      <c r="N23" s="38"/>
      <c r="O23" s="38"/>
      <c r="P23" s="55"/>
    </row>
    <row r="24" spans="1:16" ht="12.75" customHeight="1">
      <c r="A24" s="15"/>
      <c r="B24" s="53"/>
      <c r="C24" s="38"/>
      <c r="D24" s="38"/>
      <c r="E24" s="38"/>
      <c r="F24" s="38"/>
      <c r="G24" s="22"/>
      <c r="H24" s="38"/>
      <c r="I24" s="38"/>
      <c r="J24" s="38"/>
      <c r="K24" s="38"/>
      <c r="L24" s="38"/>
      <c r="M24" s="38"/>
      <c r="N24" s="38"/>
      <c r="O24" s="38"/>
      <c r="P24" s="55"/>
    </row>
    <row r="25" spans="1:16" ht="12.75" customHeight="1">
      <c r="A25" s="97"/>
      <c r="B25" s="66">
        <f>SUM(B22:B24)</f>
        <v>0</v>
      </c>
      <c r="C25" s="30"/>
      <c r="D25" s="30"/>
      <c r="E25" s="30"/>
      <c r="F25" s="30">
        <f t="shared" ref="F25:O25" si="9">SUM(F22:F24)</f>
        <v>0</v>
      </c>
      <c r="G25" s="30">
        <f t="shared" si="9"/>
        <v>0</v>
      </c>
      <c r="H25" s="30">
        <f t="shared" si="9"/>
        <v>0</v>
      </c>
      <c r="I25" s="30">
        <f t="shared" si="9"/>
        <v>0</v>
      </c>
      <c r="J25" s="30">
        <f t="shared" si="9"/>
        <v>0</v>
      </c>
      <c r="K25" s="30">
        <f t="shared" si="9"/>
        <v>0</v>
      </c>
      <c r="L25" s="30">
        <f t="shared" si="9"/>
        <v>0</v>
      </c>
      <c r="M25" s="30">
        <f t="shared" si="9"/>
        <v>0</v>
      </c>
      <c r="N25" s="30">
        <f t="shared" si="9"/>
        <v>0</v>
      </c>
      <c r="O25" s="30">
        <f t="shared" si="9"/>
        <v>0</v>
      </c>
      <c r="P25" s="30"/>
    </row>
    <row r="26" spans="1:16" ht="12.75" customHeight="1">
      <c r="A26" s="15"/>
      <c r="B26" s="53"/>
      <c r="C26" s="38"/>
      <c r="D26" s="38"/>
      <c r="E26" s="38"/>
      <c r="F26" s="38"/>
      <c r="G26" s="22"/>
      <c r="H26" s="38"/>
      <c r="I26" s="38"/>
      <c r="J26" s="38"/>
      <c r="K26" s="38"/>
      <c r="L26" s="38"/>
      <c r="M26" s="38"/>
      <c r="N26" s="38"/>
      <c r="O26" s="38"/>
      <c r="P26" s="55"/>
    </row>
  </sheetData>
  <conditionalFormatting sqref="B13:P20">
    <cfRule type="cellIs" dxfId="10" priority="2" operator="lessThan">
      <formula>0</formula>
    </cfRule>
  </conditionalFormatting>
  <conditionalFormatting sqref="L2:L12 B2:K26 M2:P26 L14:L26">
    <cfRule type="cellIs" dxfId="9" priority="1" stopIfTrue="1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7"/>
  <dimension ref="A1:Q23"/>
  <sheetViews>
    <sheetView workbookViewId="0">
      <pane ySplit="2" topLeftCell="A3" activePane="bottomLeft" state="frozen"/>
      <selection pane="bottomLeft" activeCell="B4" sqref="B4"/>
    </sheetView>
  </sheetViews>
  <sheetFormatPr defaultColWidth="17.28515625" defaultRowHeight="15.75" customHeight="1"/>
  <cols>
    <col min="1" max="1" width="12.5703125" customWidth="1"/>
    <col min="2" max="2" width="10.5703125" customWidth="1"/>
    <col min="3" max="3" width="11" customWidth="1"/>
    <col min="4" max="4" width="9.42578125" customWidth="1"/>
    <col min="5" max="6" width="11" customWidth="1"/>
    <col min="7" max="7" width="12.85546875" customWidth="1"/>
    <col min="8" max="8" width="11.85546875" customWidth="1"/>
    <col min="9" max="9" width="13.140625" customWidth="1"/>
    <col min="10" max="10" width="12" customWidth="1"/>
    <col min="11" max="11" width="12.42578125" customWidth="1"/>
    <col min="12" max="12" width="11.85546875" customWidth="1"/>
    <col min="13" max="13" width="13.140625" customWidth="1"/>
    <col min="14" max="14" width="12.140625" customWidth="1"/>
    <col min="15" max="16" width="13.28515625" customWidth="1"/>
    <col min="17" max="17" width="12.5703125" customWidth="1"/>
  </cols>
  <sheetData>
    <row r="1" spans="1:17" ht="12.75" customHeight="1">
      <c r="A1" s="106" t="s">
        <v>61</v>
      </c>
      <c r="B1" s="108" t="s">
        <v>1</v>
      </c>
      <c r="C1" s="108" t="s">
        <v>62</v>
      </c>
      <c r="D1" s="108" t="s">
        <v>4</v>
      </c>
      <c r="E1" s="108" t="s">
        <v>5</v>
      </c>
      <c r="F1" s="108" t="s">
        <v>6</v>
      </c>
      <c r="G1" s="108" t="s">
        <v>7</v>
      </c>
      <c r="H1" s="108" t="s">
        <v>8</v>
      </c>
      <c r="I1" s="108" t="s">
        <v>9</v>
      </c>
      <c r="J1" s="108" t="s">
        <v>10</v>
      </c>
      <c r="K1" s="108" t="s">
        <v>11</v>
      </c>
      <c r="L1" s="108" t="s">
        <v>44</v>
      </c>
      <c r="M1" s="3" t="s">
        <v>12</v>
      </c>
      <c r="N1" s="108" t="s">
        <v>13</v>
      </c>
      <c r="O1" s="108" t="s">
        <v>14</v>
      </c>
      <c r="P1" s="3" t="s">
        <v>15</v>
      </c>
      <c r="Q1" s="108"/>
    </row>
    <row r="2" spans="1:17" ht="12.75" customHeight="1">
      <c r="A2" s="6" t="str">
        <f ca="1">IFERROR(__xludf.DUMMYFUNCTION("GOOGLEFINANCE(A1)"),"R$ 32.81")</f>
        <v>R$ 32.81</v>
      </c>
      <c r="B2" s="80" t="e">
        <f ca="1">B4+B11+B18+B22</f>
        <v>#VALUE!</v>
      </c>
      <c r="C2" s="80" t="e">
        <f ca="1">P2/B2</f>
        <v>#VALUE!</v>
      </c>
      <c r="D2" s="80" t="e">
        <f ca="1">P2/B2</f>
        <v>#VALUE!</v>
      </c>
      <c r="E2" s="80"/>
      <c r="F2" s="80">
        <f t="shared" ref="F2:P2" si="0">F4+F11+F18+F22</f>
        <v>20</v>
      </c>
      <c r="G2" s="80">
        <f t="shared" si="0"/>
        <v>0.75629174999999993</v>
      </c>
      <c r="H2" s="80">
        <f t="shared" si="0"/>
        <v>31.680232982</v>
      </c>
      <c r="I2" s="80">
        <f t="shared" si="0"/>
        <v>0</v>
      </c>
      <c r="J2" s="80">
        <f t="shared" si="0"/>
        <v>12.376402292999998</v>
      </c>
      <c r="K2" s="80">
        <f t="shared" si="0"/>
        <v>0</v>
      </c>
      <c r="L2" s="80">
        <f t="shared" si="0"/>
        <v>0</v>
      </c>
      <c r="M2" s="80">
        <f t="shared" si="0"/>
        <v>25.71</v>
      </c>
      <c r="N2" s="80">
        <f t="shared" si="0"/>
        <v>0</v>
      </c>
      <c r="O2" s="80">
        <f t="shared" si="0"/>
        <v>32.096906447999999</v>
      </c>
      <c r="P2" s="80">
        <f t="shared" si="0"/>
        <v>2207.90629175</v>
      </c>
      <c r="Q2" s="80"/>
    </row>
    <row r="3" spans="1:17" ht="12.75" customHeight="1">
      <c r="A3" s="15">
        <f ca="1">NOW()</f>
        <v>45511.687532986114</v>
      </c>
      <c r="B3" s="60" t="e">
        <f ca="1">P3/C3</f>
        <v>#VALUE!</v>
      </c>
      <c r="C3" s="60" t="str">
        <f ca="1">A2</f>
        <v>R$ 32.81</v>
      </c>
      <c r="D3" s="38"/>
      <c r="E3" s="38"/>
      <c r="F3" s="38">
        <v>5</v>
      </c>
      <c r="G3" s="22">
        <f>P3*0.000345</f>
        <v>0</v>
      </c>
      <c r="H3" s="38"/>
      <c r="I3" s="38"/>
      <c r="J3" s="38"/>
      <c r="K3" s="38"/>
      <c r="L3" s="38"/>
      <c r="M3" s="38"/>
      <c r="N3" s="38"/>
      <c r="O3" s="38"/>
      <c r="P3" s="38">
        <f>P!Q8</f>
        <v>0</v>
      </c>
      <c r="Q3" s="38"/>
    </row>
    <row r="4" spans="1:17" ht="12.75" customHeight="1">
      <c r="A4" s="26" t="s">
        <v>23</v>
      </c>
      <c r="B4" s="30" t="e">
        <f ca="1">SUM(B3)</f>
        <v>#VALUE!</v>
      </c>
      <c r="C4" s="30" t="str">
        <f t="shared" ref="C4:D4" ca="1" si="1">C3</f>
        <v>R$ 32.81</v>
      </c>
      <c r="D4" s="30">
        <f t="shared" si="1"/>
        <v>0</v>
      </c>
      <c r="E4" s="30"/>
      <c r="F4" s="30">
        <f t="shared" ref="F4:K4" si="2">SUM(F3)</f>
        <v>5</v>
      </c>
      <c r="G4" s="30">
        <f t="shared" si="2"/>
        <v>0</v>
      </c>
      <c r="H4" s="30">
        <f t="shared" si="2"/>
        <v>0</v>
      </c>
      <c r="I4" s="30">
        <f t="shared" si="2"/>
        <v>0</v>
      </c>
      <c r="J4" s="30">
        <f t="shared" si="2"/>
        <v>0</v>
      </c>
      <c r="K4" s="30">
        <f t="shared" si="2"/>
        <v>0</v>
      </c>
      <c r="L4" s="30"/>
      <c r="M4" s="30">
        <f t="shared" ref="M4:N4" si="3">SUM(M3)</f>
        <v>0</v>
      </c>
      <c r="N4" s="30">
        <f t="shared" si="3"/>
        <v>0</v>
      </c>
      <c r="O4" s="30"/>
      <c r="P4" s="30">
        <f>SUM(P3)</f>
        <v>0</v>
      </c>
      <c r="Q4" s="30"/>
    </row>
    <row r="5" spans="1:17" ht="12.75" customHeight="1">
      <c r="A5" s="15">
        <v>42065</v>
      </c>
      <c r="B5" s="53">
        <v>13</v>
      </c>
      <c r="C5" s="38">
        <v>43.75</v>
      </c>
      <c r="D5" s="38">
        <f>P5/B5</f>
        <v>44.149709134615378</v>
      </c>
      <c r="E5" s="38"/>
      <c r="F5" s="38">
        <v>5</v>
      </c>
      <c r="G5" s="24">
        <f t="shared" ref="G5:G10" si="4">SUM(B5*C5*0.000345)</f>
        <v>0.19621875</v>
      </c>
      <c r="H5" s="38"/>
      <c r="I5" s="38"/>
      <c r="J5" s="38"/>
      <c r="K5" s="38"/>
      <c r="L5" s="38"/>
      <c r="M5" s="38"/>
      <c r="N5" s="38"/>
      <c r="O5" s="38">
        <f t="shared" ref="O5:O9" si="5">H5+I5+J5+K5+L5+M5</f>
        <v>0</v>
      </c>
      <c r="P5" s="38">
        <f t="shared" ref="P5:P10" si="6">B5*C5+F5+G5</f>
        <v>573.94621874999996</v>
      </c>
      <c r="Q5" s="38"/>
    </row>
    <row r="6" spans="1:17" ht="12.75" customHeight="1">
      <c r="A6" s="15">
        <v>42094</v>
      </c>
      <c r="B6" s="53"/>
      <c r="C6" s="38"/>
      <c r="D6" s="38"/>
      <c r="E6" s="38"/>
      <c r="F6" s="38"/>
      <c r="G6" s="24">
        <f t="shared" si="4"/>
        <v>0</v>
      </c>
      <c r="H6" s="38">
        <f>13*0.448660585</f>
        <v>5.8325876049999996</v>
      </c>
      <c r="I6" s="38"/>
      <c r="J6" s="38">
        <f>13*0.042639911</f>
        <v>0.55431884300000001</v>
      </c>
      <c r="K6" s="38"/>
      <c r="L6" s="38"/>
      <c r="M6" s="38"/>
      <c r="N6" s="38"/>
      <c r="O6" s="38">
        <f t="shared" si="5"/>
        <v>6.3869064479999995</v>
      </c>
      <c r="P6" s="38">
        <f t="shared" si="6"/>
        <v>0</v>
      </c>
      <c r="Q6" s="87"/>
    </row>
    <row r="7" spans="1:17" ht="12.75" customHeight="1">
      <c r="A7" s="15">
        <v>42104</v>
      </c>
      <c r="B7" s="53">
        <v>2</v>
      </c>
      <c r="C7" s="38"/>
      <c r="D7" s="38">
        <f t="shared" ref="D7:D8" si="7">P7/B7</f>
        <v>0</v>
      </c>
      <c r="E7" s="38"/>
      <c r="F7" s="38"/>
      <c r="G7" s="24">
        <f t="shared" si="4"/>
        <v>0</v>
      </c>
      <c r="H7" s="38"/>
      <c r="I7" s="38"/>
      <c r="J7" s="38"/>
      <c r="K7" s="38"/>
      <c r="L7" s="38"/>
      <c r="M7" s="38"/>
      <c r="N7" s="38"/>
      <c r="O7" s="38">
        <f t="shared" si="5"/>
        <v>0</v>
      </c>
      <c r="P7" s="38">
        <f t="shared" si="6"/>
        <v>0</v>
      </c>
      <c r="Q7" s="119" t="s">
        <v>42</v>
      </c>
    </row>
    <row r="8" spans="1:17" ht="12.75" customHeight="1">
      <c r="A8" s="15">
        <v>42098</v>
      </c>
      <c r="B8" s="53">
        <v>18</v>
      </c>
      <c r="C8" s="38">
        <v>41.8</v>
      </c>
      <c r="D8" s="38">
        <f t="shared" si="7"/>
        <v>42.092198777777782</v>
      </c>
      <c r="E8" s="38"/>
      <c r="F8" s="38">
        <v>5</v>
      </c>
      <c r="G8" s="24">
        <f t="shared" si="4"/>
        <v>0.25957799999999998</v>
      </c>
      <c r="H8" s="38"/>
      <c r="I8" s="38"/>
      <c r="J8" s="38"/>
      <c r="K8" s="38"/>
      <c r="L8" s="38"/>
      <c r="M8" s="38"/>
      <c r="N8" s="38"/>
      <c r="O8" s="38">
        <f t="shared" si="5"/>
        <v>0</v>
      </c>
      <c r="P8" s="38">
        <f t="shared" si="6"/>
        <v>757.65957800000001</v>
      </c>
      <c r="Q8" s="38"/>
    </row>
    <row r="9" spans="1:17" ht="12.75" customHeight="1">
      <c r="A9" s="15">
        <v>42173</v>
      </c>
      <c r="B9" s="53"/>
      <c r="C9" s="38"/>
      <c r="D9" s="38"/>
      <c r="E9" s="38"/>
      <c r="F9" s="38"/>
      <c r="G9" s="24">
        <f t="shared" si="4"/>
        <v>0</v>
      </c>
      <c r="H9" s="38"/>
      <c r="I9" s="38"/>
      <c r="J9" s="38"/>
      <c r="K9" s="38"/>
      <c r="L9" s="38"/>
      <c r="M9" s="38">
        <f>8.57*3</f>
        <v>25.71</v>
      </c>
      <c r="N9" s="38"/>
      <c r="O9" s="38">
        <f t="shared" si="5"/>
        <v>25.71</v>
      </c>
      <c r="P9" s="38">
        <f t="shared" si="6"/>
        <v>0</v>
      </c>
      <c r="Q9" s="121" t="s">
        <v>63</v>
      </c>
    </row>
    <row r="10" spans="1:17" ht="12.75" customHeight="1">
      <c r="A10" s="15">
        <v>42277</v>
      </c>
      <c r="B10" s="53"/>
      <c r="C10" s="38"/>
      <c r="D10" s="38"/>
      <c r="E10" s="38"/>
      <c r="F10" s="38"/>
      <c r="G10" s="24">
        <f t="shared" si="4"/>
        <v>0</v>
      </c>
      <c r="H10" s="38">
        <f>33*0.218322399</f>
        <v>7.2046391669999998</v>
      </c>
      <c r="I10" s="38"/>
      <c r="J10" s="38">
        <f>33*0.06065625</f>
        <v>2.0016562499999999</v>
      </c>
      <c r="K10" s="38"/>
      <c r="L10" s="38"/>
      <c r="M10" s="38"/>
      <c r="N10" s="38"/>
      <c r="O10" s="38"/>
      <c r="P10" s="38">
        <f t="shared" si="6"/>
        <v>0</v>
      </c>
      <c r="Q10" s="38"/>
    </row>
    <row r="11" spans="1:17" ht="12.75" customHeight="1">
      <c r="A11" s="26">
        <v>2015</v>
      </c>
      <c r="B11" s="66">
        <f>SUM(B5:B10)</f>
        <v>33</v>
      </c>
      <c r="C11" s="30">
        <f>SUM((P11/B11))</f>
        <v>40.351690810606065</v>
      </c>
      <c r="D11" s="30"/>
      <c r="E11" s="30"/>
      <c r="F11" s="30">
        <f t="shared" ref="F11:P11" si="8">SUM(F5:F10)</f>
        <v>10</v>
      </c>
      <c r="G11" s="30">
        <f t="shared" si="8"/>
        <v>0.45579674999999997</v>
      </c>
      <c r="H11" s="30">
        <f t="shared" si="8"/>
        <v>13.037226772</v>
      </c>
      <c r="I11" s="30">
        <f t="shared" si="8"/>
        <v>0</v>
      </c>
      <c r="J11" s="30">
        <f t="shared" si="8"/>
        <v>2.5559750929999998</v>
      </c>
      <c r="K11" s="30">
        <f t="shared" si="8"/>
        <v>0</v>
      </c>
      <c r="L11" s="30">
        <f t="shared" si="8"/>
        <v>0</v>
      </c>
      <c r="M11" s="30">
        <f t="shared" si="8"/>
        <v>25.71</v>
      </c>
      <c r="N11" s="30">
        <f t="shared" si="8"/>
        <v>0</v>
      </c>
      <c r="O11" s="30">
        <f t="shared" si="8"/>
        <v>32.096906447999999</v>
      </c>
      <c r="P11" s="30">
        <f t="shared" si="8"/>
        <v>1331.6057967500001</v>
      </c>
      <c r="Q11" s="30"/>
    </row>
    <row r="12" spans="1:17" ht="12.75" customHeight="1">
      <c r="A12" s="15">
        <v>42460</v>
      </c>
      <c r="B12" s="53"/>
      <c r="C12" s="38"/>
      <c r="D12" s="38"/>
      <c r="E12" s="38"/>
      <c r="F12" s="38"/>
      <c r="G12" s="79">
        <f t="shared" ref="G12:G14" si="9">SUM(B12*C12*0.000345)</f>
        <v>0</v>
      </c>
      <c r="H12" s="38">
        <f>0.2134*33</f>
        <v>7.0422000000000002</v>
      </c>
      <c r="I12" s="38"/>
      <c r="J12" s="38">
        <f>33*0.0741</f>
        <v>2.4453</v>
      </c>
      <c r="K12" s="38"/>
      <c r="L12" s="38"/>
      <c r="M12" s="38"/>
      <c r="N12" s="38"/>
      <c r="O12" s="38"/>
      <c r="P12" s="38">
        <f t="shared" ref="P12:P14" si="10">B12*C12+F12+G12</f>
        <v>0</v>
      </c>
      <c r="Q12" s="55"/>
    </row>
    <row r="13" spans="1:17" ht="12.75" customHeight="1">
      <c r="A13" s="15">
        <v>42468</v>
      </c>
      <c r="B13" s="53">
        <v>11</v>
      </c>
      <c r="C13" s="38"/>
      <c r="D13" s="38"/>
      <c r="E13" s="38"/>
      <c r="F13" s="38"/>
      <c r="G13" s="79">
        <f t="shared" si="9"/>
        <v>0</v>
      </c>
      <c r="H13" s="38"/>
      <c r="I13" s="38"/>
      <c r="J13" s="38"/>
      <c r="K13" s="38"/>
      <c r="L13" s="38"/>
      <c r="M13" s="38"/>
      <c r="N13" s="38"/>
      <c r="O13" s="38"/>
      <c r="P13" s="38">
        <f t="shared" si="10"/>
        <v>0</v>
      </c>
      <c r="Q13" s="55" t="s">
        <v>42</v>
      </c>
    </row>
    <row r="14" spans="1:17" ht="12.75" customHeight="1">
      <c r="A14" s="15">
        <v>42492</v>
      </c>
      <c r="B14" s="53">
        <v>26</v>
      </c>
      <c r="C14" s="38">
        <v>33.5</v>
      </c>
      <c r="D14" s="38"/>
      <c r="E14" s="38"/>
      <c r="F14" s="38">
        <v>5</v>
      </c>
      <c r="G14" s="79">
        <f t="shared" si="9"/>
        <v>0.30049500000000001</v>
      </c>
      <c r="H14" s="38"/>
      <c r="I14" s="38"/>
      <c r="J14" s="38"/>
      <c r="K14" s="38"/>
      <c r="L14" s="38"/>
      <c r="M14" s="38"/>
      <c r="N14" s="38"/>
      <c r="O14" s="38"/>
      <c r="P14" s="38">
        <f t="shared" si="10"/>
        <v>876.30049499999996</v>
      </c>
      <c r="Q14" s="55"/>
    </row>
    <row r="15" spans="1:17" ht="12.75" customHeight="1">
      <c r="A15" s="15">
        <v>42643</v>
      </c>
      <c r="B15" s="53"/>
      <c r="C15" s="38"/>
      <c r="D15" s="38"/>
      <c r="E15" s="38"/>
      <c r="F15" s="38"/>
      <c r="G15" s="79"/>
      <c r="H15" s="38">
        <f>70*0.165725803</f>
        <v>11.60080621</v>
      </c>
      <c r="I15" s="38"/>
      <c r="J15" s="38">
        <f>70*0.10535896</f>
        <v>7.3751271999999997</v>
      </c>
      <c r="K15" s="38"/>
      <c r="L15" s="38"/>
      <c r="M15" s="38"/>
      <c r="N15" s="38"/>
      <c r="O15" s="38"/>
      <c r="P15" s="38"/>
      <c r="Q15" s="55"/>
    </row>
    <row r="16" spans="1:17" ht="12.75" customHeight="1">
      <c r="A16" s="15"/>
      <c r="B16" s="53"/>
      <c r="C16" s="38"/>
      <c r="D16" s="38"/>
      <c r="E16" s="38"/>
      <c r="F16" s="38"/>
      <c r="G16" s="79">
        <f t="shared" ref="G16:G17" si="11">SUM(B16*C16*0.000345)</f>
        <v>0</v>
      </c>
      <c r="H16" s="38"/>
      <c r="I16" s="38"/>
      <c r="J16" s="38"/>
      <c r="K16" s="38"/>
      <c r="L16" s="38"/>
      <c r="M16" s="38"/>
      <c r="N16" s="38"/>
      <c r="O16" s="38"/>
      <c r="P16" s="38">
        <f t="shared" ref="P16:P17" si="12">B16*C16+F16+G16</f>
        <v>0</v>
      </c>
      <c r="Q16" s="55"/>
    </row>
    <row r="17" spans="1:17" ht="12.75" customHeight="1">
      <c r="A17" s="15"/>
      <c r="B17" s="53"/>
      <c r="C17" s="38"/>
      <c r="D17" s="38"/>
      <c r="E17" s="38"/>
      <c r="F17" s="38"/>
      <c r="G17" s="79">
        <f t="shared" si="11"/>
        <v>0</v>
      </c>
      <c r="H17" s="38"/>
      <c r="I17" s="38"/>
      <c r="J17" s="38"/>
      <c r="K17" s="38"/>
      <c r="L17" s="38"/>
      <c r="M17" s="38"/>
      <c r="N17" s="38"/>
      <c r="O17" s="38"/>
      <c r="P17" s="38">
        <f t="shared" si="12"/>
        <v>0</v>
      </c>
      <c r="Q17" s="55"/>
    </row>
    <row r="18" spans="1:17" ht="12.75" customHeight="1">
      <c r="A18" s="26">
        <v>2016</v>
      </c>
      <c r="B18" s="66">
        <f>SUM(B12:B17)</f>
        <v>37</v>
      </c>
      <c r="C18" s="30"/>
      <c r="D18" s="30"/>
      <c r="E18" s="30"/>
      <c r="F18" s="30">
        <f t="shared" ref="F18:N18" si="13">SUM(F12:F17)</f>
        <v>5</v>
      </c>
      <c r="G18" s="30">
        <f t="shared" si="13"/>
        <v>0.30049500000000001</v>
      </c>
      <c r="H18" s="30">
        <f t="shared" si="13"/>
        <v>18.643006209999999</v>
      </c>
      <c r="I18" s="30">
        <f t="shared" si="13"/>
        <v>0</v>
      </c>
      <c r="J18" s="30">
        <f t="shared" si="13"/>
        <v>9.8204271999999992</v>
      </c>
      <c r="K18" s="30">
        <f t="shared" si="13"/>
        <v>0</v>
      </c>
      <c r="L18" s="30">
        <f t="shared" si="13"/>
        <v>0</v>
      </c>
      <c r="M18" s="30">
        <f t="shared" si="13"/>
        <v>0</v>
      </c>
      <c r="N18" s="30">
        <f t="shared" si="13"/>
        <v>0</v>
      </c>
      <c r="O18" s="30"/>
      <c r="P18" s="30">
        <f>SUM(P12:P17)</f>
        <v>876.30049499999996</v>
      </c>
      <c r="Q18" s="30"/>
    </row>
    <row r="19" spans="1:17" ht="12.75" customHeight="1">
      <c r="A19" s="15"/>
      <c r="B19" s="53"/>
      <c r="C19" s="38"/>
      <c r="D19" s="38"/>
      <c r="E19" s="38"/>
      <c r="F19" s="38"/>
      <c r="G19" s="22"/>
      <c r="H19" s="38"/>
      <c r="I19" s="38"/>
      <c r="J19" s="38"/>
      <c r="K19" s="38"/>
      <c r="L19" s="38"/>
      <c r="M19" s="38"/>
      <c r="N19" s="38"/>
      <c r="O19" s="38"/>
      <c r="P19" s="38"/>
      <c r="Q19" s="55"/>
    </row>
    <row r="20" spans="1:17" ht="12.75" customHeight="1">
      <c r="A20" s="15"/>
      <c r="B20" s="53"/>
      <c r="C20" s="38"/>
      <c r="D20" s="38"/>
      <c r="E20" s="38"/>
      <c r="F20" s="38"/>
      <c r="G20" s="22"/>
      <c r="H20" s="38"/>
      <c r="I20" s="38"/>
      <c r="J20" s="38"/>
      <c r="K20" s="38"/>
      <c r="L20" s="38"/>
      <c r="M20" s="38"/>
      <c r="N20" s="38"/>
      <c r="O20" s="38"/>
      <c r="P20" s="38"/>
      <c r="Q20" s="55"/>
    </row>
    <row r="21" spans="1:17" ht="12.75" customHeight="1">
      <c r="A21" s="15"/>
      <c r="B21" s="53"/>
      <c r="C21" s="38"/>
      <c r="D21" s="38"/>
      <c r="E21" s="38"/>
      <c r="F21" s="38"/>
      <c r="G21" s="22"/>
      <c r="H21" s="38"/>
      <c r="I21" s="38"/>
      <c r="J21" s="38"/>
      <c r="K21" s="38"/>
      <c r="L21" s="38"/>
      <c r="M21" s="38"/>
      <c r="N21" s="38"/>
      <c r="O21" s="38"/>
      <c r="P21" s="38"/>
      <c r="Q21" s="55"/>
    </row>
    <row r="22" spans="1:17" ht="12.75" customHeight="1">
      <c r="A22" s="26"/>
      <c r="B22" s="66">
        <f>SUM(B19:B21)</f>
        <v>0</v>
      </c>
      <c r="C22" s="30"/>
      <c r="D22" s="30"/>
      <c r="E22" s="30"/>
      <c r="F22" s="30">
        <f t="shared" ref="F22:N22" si="14">SUM(F19:F21)</f>
        <v>0</v>
      </c>
      <c r="G22" s="30">
        <f t="shared" si="14"/>
        <v>0</v>
      </c>
      <c r="H22" s="30">
        <f t="shared" si="14"/>
        <v>0</v>
      </c>
      <c r="I22" s="30">
        <f t="shared" si="14"/>
        <v>0</v>
      </c>
      <c r="J22" s="30">
        <f t="shared" si="14"/>
        <v>0</v>
      </c>
      <c r="K22" s="30">
        <f t="shared" si="14"/>
        <v>0</v>
      </c>
      <c r="L22" s="30">
        <f t="shared" si="14"/>
        <v>0</v>
      </c>
      <c r="M22" s="30">
        <f t="shared" si="14"/>
        <v>0</v>
      </c>
      <c r="N22" s="30">
        <f t="shared" si="14"/>
        <v>0</v>
      </c>
      <c r="O22" s="30"/>
      <c r="P22" s="30">
        <f>SUM(P19:P21)</f>
        <v>0</v>
      </c>
      <c r="Q22" s="30"/>
    </row>
    <row r="23" spans="1:17" ht="12.75" customHeight="1">
      <c r="A23" s="15"/>
      <c r="B23" s="53"/>
      <c r="C23" s="38"/>
      <c r="D23" s="38"/>
      <c r="E23" s="38"/>
      <c r="F23" s="38"/>
      <c r="G23" s="22"/>
      <c r="H23" s="38"/>
      <c r="I23" s="38"/>
      <c r="J23" s="38"/>
      <c r="K23" s="38"/>
      <c r="L23" s="38"/>
      <c r="M23" s="38"/>
      <c r="N23" s="38"/>
      <c r="O23" s="38"/>
      <c r="P23" s="38"/>
      <c r="Q23" s="55"/>
    </row>
  </sheetData>
  <conditionalFormatting sqref="B2:Q23">
    <cfRule type="cellIs" dxfId="8" priority="1" stopIfTrue="1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8"/>
  <dimension ref="A1:P20"/>
  <sheetViews>
    <sheetView workbookViewId="0">
      <pane ySplit="2" topLeftCell="A3" activePane="bottomLeft" state="frozen"/>
      <selection pane="bottomLeft" activeCell="B4" sqref="B4"/>
    </sheetView>
  </sheetViews>
  <sheetFormatPr defaultColWidth="17.28515625" defaultRowHeight="15.75" customHeight="1"/>
  <cols>
    <col min="1" max="1" width="12.5703125" customWidth="1"/>
    <col min="2" max="2" width="10.5703125" customWidth="1"/>
    <col min="3" max="3" width="11" customWidth="1"/>
    <col min="4" max="4" width="9.42578125" customWidth="1"/>
    <col min="5" max="6" width="11" customWidth="1"/>
    <col min="7" max="7" width="12.85546875" customWidth="1"/>
    <col min="8" max="8" width="11.85546875" customWidth="1"/>
    <col min="9" max="9" width="13.140625" customWidth="1"/>
    <col min="10" max="10" width="12" customWidth="1"/>
    <col min="11" max="11" width="12.42578125" customWidth="1"/>
    <col min="12" max="12" width="11.85546875" customWidth="1"/>
    <col min="13" max="13" width="13.140625" customWidth="1"/>
    <col min="14" max="14" width="12.140625" customWidth="1"/>
    <col min="15" max="15" width="13.28515625" customWidth="1"/>
    <col min="16" max="16" width="12.5703125" customWidth="1"/>
  </cols>
  <sheetData>
    <row r="1" spans="1:16" ht="12.75" customHeight="1">
      <c r="A1" s="75" t="s">
        <v>64</v>
      </c>
      <c r="B1" s="3" t="s">
        <v>1</v>
      </c>
      <c r="C1" s="3" t="s">
        <v>62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44</v>
      </c>
      <c r="M1" s="3" t="s">
        <v>12</v>
      </c>
      <c r="N1" s="3" t="s">
        <v>13</v>
      </c>
      <c r="O1" s="3" t="s">
        <v>15</v>
      </c>
      <c r="P1" s="3"/>
    </row>
    <row r="2" spans="1:16" ht="12.75" customHeight="1">
      <c r="A2" s="6" t="str">
        <f ca="1">IFERROR(__xludf.DUMMYFUNCTION("GOOGLEFINANCE(A1)"),"R$ 52.36")</f>
        <v>R$ 52.36</v>
      </c>
      <c r="B2" s="80" t="e">
        <f ca="1">B4+B9+B15+B19</f>
        <v>#VALUE!</v>
      </c>
      <c r="C2" s="80" t="e">
        <f ca="1">O2/B2</f>
        <v>#VALUE!</v>
      </c>
      <c r="D2" s="80" t="e">
        <f ca="1">O2/B2</f>
        <v>#VALUE!</v>
      </c>
      <c r="E2" s="80"/>
      <c r="F2" s="80">
        <f t="shared" ref="F2:O2" si="0">F4+F9+F15+F19</f>
        <v>25</v>
      </c>
      <c r="G2" s="80">
        <f t="shared" si="0"/>
        <v>1.0469266500000001</v>
      </c>
      <c r="H2" s="80">
        <f t="shared" si="0"/>
        <v>314.45943909165055</v>
      </c>
      <c r="I2" s="80">
        <f t="shared" si="0"/>
        <v>0</v>
      </c>
      <c r="J2" s="80">
        <f t="shared" si="0"/>
        <v>39.692042239352247</v>
      </c>
      <c r="K2" s="80">
        <f t="shared" si="0"/>
        <v>0</v>
      </c>
      <c r="L2" s="80">
        <f t="shared" si="0"/>
        <v>0</v>
      </c>
      <c r="M2" s="80">
        <f t="shared" si="0"/>
        <v>0</v>
      </c>
      <c r="N2" s="80">
        <f t="shared" si="0"/>
        <v>0</v>
      </c>
      <c r="O2" s="80">
        <f t="shared" si="0"/>
        <v>3055.6169266500001</v>
      </c>
      <c r="P2" s="80"/>
    </row>
    <row r="3" spans="1:16" ht="12.75" customHeight="1">
      <c r="A3" s="15">
        <f ca="1">NOW()</f>
        <v>45511.687532986114</v>
      </c>
      <c r="B3" s="90" t="e">
        <f ca="1">O3/C3</f>
        <v>#VALUE!</v>
      </c>
      <c r="C3" s="90" t="str">
        <f ca="1">A2</f>
        <v>R$ 52.36</v>
      </c>
      <c r="D3" s="91" t="e">
        <f ca="1">P3/B3</f>
        <v>#VALUE!</v>
      </c>
      <c r="E3" s="91"/>
      <c r="F3" s="91">
        <v>5</v>
      </c>
      <c r="G3" s="92">
        <f>O3*0.000345</f>
        <v>0</v>
      </c>
      <c r="H3" s="91"/>
      <c r="I3" s="91"/>
      <c r="J3" s="91"/>
      <c r="K3" s="91"/>
      <c r="L3" s="91"/>
      <c r="M3" s="91"/>
      <c r="N3" s="91"/>
      <c r="O3" s="91">
        <f>P!Q7</f>
        <v>0</v>
      </c>
      <c r="P3" s="91"/>
    </row>
    <row r="4" spans="1:16" ht="12.75" customHeight="1">
      <c r="A4" s="26" t="s">
        <v>23</v>
      </c>
      <c r="B4" s="93" t="e">
        <f ca="1">SUM(B3)</f>
        <v>#VALUE!</v>
      </c>
      <c r="C4" s="93"/>
      <c r="D4" s="93"/>
      <c r="E4" s="93"/>
      <c r="F4" s="93">
        <f t="shared" ref="F4:K4" si="1">SUM(F3)</f>
        <v>5</v>
      </c>
      <c r="G4" s="93">
        <f t="shared" si="1"/>
        <v>0</v>
      </c>
      <c r="H4" s="93">
        <f t="shared" si="1"/>
        <v>0</v>
      </c>
      <c r="I4" s="93">
        <f t="shared" si="1"/>
        <v>0</v>
      </c>
      <c r="J4" s="93">
        <f t="shared" si="1"/>
        <v>0</v>
      </c>
      <c r="K4" s="93">
        <f t="shared" si="1"/>
        <v>0</v>
      </c>
      <c r="L4" s="93"/>
      <c r="M4" s="93">
        <f t="shared" ref="M4:O4" si="2">SUM(M3)</f>
        <v>0</v>
      </c>
      <c r="N4" s="93">
        <f t="shared" si="2"/>
        <v>0</v>
      </c>
      <c r="O4" s="93">
        <f t="shared" si="2"/>
        <v>0</v>
      </c>
      <c r="P4" s="93"/>
    </row>
    <row r="5" spans="1:16" ht="12.75" customHeight="1">
      <c r="A5" s="15">
        <v>42065</v>
      </c>
      <c r="B5">
        <v>9</v>
      </c>
      <c r="C5" s="91">
        <v>39.909999999999997</v>
      </c>
      <c r="D5" s="91">
        <f>O5/B5</f>
        <v>40.479324505555546</v>
      </c>
      <c r="E5" s="91"/>
      <c r="F5" s="91">
        <v>5</v>
      </c>
      <c r="G5" s="24">
        <f t="shared" ref="G5:G8" si="3">SUM(B5*C5*0.000345)</f>
        <v>0.12392054999999998</v>
      </c>
      <c r="H5" s="91"/>
      <c r="I5" s="91"/>
      <c r="J5" s="91"/>
      <c r="K5" s="91"/>
      <c r="L5" s="91"/>
      <c r="M5" s="91"/>
      <c r="N5" s="91"/>
      <c r="O5" s="91">
        <f t="shared" ref="O5:O8" si="4">B5*C5+F5+G5</f>
        <v>364.31392054999992</v>
      </c>
      <c r="P5" s="91"/>
    </row>
    <row r="6" spans="1:16" ht="12.75" customHeight="1">
      <c r="A6" s="15">
        <v>42135</v>
      </c>
      <c r="C6" s="91"/>
      <c r="D6" s="91"/>
      <c r="E6" s="91"/>
      <c r="F6" s="91"/>
      <c r="G6" s="24">
        <f t="shared" si="3"/>
        <v>0</v>
      </c>
      <c r="H6" s="98">
        <f>9*2.7308</f>
        <v>24.577199999999998</v>
      </c>
      <c r="I6" s="91"/>
      <c r="J6" s="91"/>
      <c r="K6" s="91"/>
      <c r="L6" s="91"/>
      <c r="M6" s="91"/>
      <c r="N6" s="91"/>
      <c r="O6" s="91">
        <f t="shared" si="4"/>
        <v>0</v>
      </c>
      <c r="P6" s="91"/>
    </row>
    <row r="7" spans="1:16" ht="12.75" customHeight="1">
      <c r="A7" s="15">
        <v>42156</v>
      </c>
      <c r="B7">
        <v>16</v>
      </c>
      <c r="C7" s="91">
        <v>46.5</v>
      </c>
      <c r="D7" s="91">
        <f>O7/B7</f>
        <v>46.828542499999998</v>
      </c>
      <c r="E7" s="91"/>
      <c r="F7" s="91">
        <v>5</v>
      </c>
      <c r="G7" s="24">
        <f t="shared" si="3"/>
        <v>0.25667999999999996</v>
      </c>
      <c r="H7" s="91"/>
      <c r="I7" s="91"/>
      <c r="J7" s="91"/>
      <c r="K7" s="91"/>
      <c r="L7" s="91"/>
      <c r="M7" s="91"/>
      <c r="N7" s="91"/>
      <c r="O7" s="91">
        <f t="shared" si="4"/>
        <v>749.25667999999996</v>
      </c>
      <c r="P7" s="91"/>
    </row>
    <row r="8" spans="1:16" ht="12.75" customHeight="1">
      <c r="A8" s="15">
        <v>42367</v>
      </c>
      <c r="C8" s="91"/>
      <c r="D8" s="91"/>
      <c r="E8" s="91"/>
      <c r="F8" s="91"/>
      <c r="G8" s="24">
        <f t="shared" si="3"/>
        <v>0</v>
      </c>
      <c r="H8" s="91">
        <f>25*1.17624111008602</f>
        <v>29.4060277521505</v>
      </c>
      <c r="I8" s="91"/>
      <c r="J8" s="79">
        <f>25*1.58768168957409</f>
        <v>39.692042239352247</v>
      </c>
      <c r="K8" s="91"/>
      <c r="L8" s="91"/>
      <c r="M8" s="91"/>
      <c r="N8" s="91"/>
      <c r="O8" s="91">
        <f t="shared" si="4"/>
        <v>0</v>
      </c>
      <c r="P8" s="91"/>
    </row>
    <row r="9" spans="1:16" ht="12.75" customHeight="1">
      <c r="A9" s="26">
        <v>2015</v>
      </c>
      <c r="B9" s="103">
        <f>SUM(B5:B8)</f>
        <v>25</v>
      </c>
      <c r="C9" s="93">
        <f>SUM((O9/B9))</f>
        <v>44.542824021999998</v>
      </c>
      <c r="D9" s="93">
        <f>SUM((P9/B9))</f>
        <v>0</v>
      </c>
      <c r="E9" s="93"/>
      <c r="F9" s="93">
        <f>SUM(F5:F8)</f>
        <v>10</v>
      </c>
      <c r="G9" s="93">
        <f t="shared" ref="G9:K9" si="5">SUM(G3:G8)</f>
        <v>0.38060054999999993</v>
      </c>
      <c r="H9" s="93">
        <f t="shared" si="5"/>
        <v>53.983227752150498</v>
      </c>
      <c r="I9" s="93">
        <f t="shared" si="5"/>
        <v>0</v>
      </c>
      <c r="J9" s="93">
        <f t="shared" si="5"/>
        <v>39.692042239352247</v>
      </c>
      <c r="K9" s="93">
        <f t="shared" si="5"/>
        <v>0</v>
      </c>
      <c r="L9" s="93"/>
      <c r="M9" s="93">
        <f t="shared" ref="M9:N9" si="6">SUM(M3:M8)</f>
        <v>0</v>
      </c>
      <c r="N9" s="93">
        <f t="shared" si="6"/>
        <v>0</v>
      </c>
      <c r="O9" s="93">
        <f>SUM(O5:O8)</f>
        <v>1113.5706005499999</v>
      </c>
      <c r="P9" s="93"/>
    </row>
    <row r="10" spans="1:16" ht="12.75" customHeight="1">
      <c r="A10" s="15">
        <v>42426</v>
      </c>
      <c r="C10" s="91"/>
      <c r="D10" s="91"/>
      <c r="E10" s="91"/>
      <c r="F10" s="91"/>
      <c r="G10" s="92"/>
      <c r="H10" s="91">
        <f>25*10.41904845358</f>
        <v>260.47621133950003</v>
      </c>
      <c r="I10" s="91"/>
      <c r="J10" s="91"/>
      <c r="K10" s="91"/>
      <c r="L10" s="91"/>
      <c r="M10" s="91"/>
      <c r="N10" s="91"/>
      <c r="O10" s="91"/>
      <c r="P10" s="102"/>
    </row>
    <row r="11" spans="1:16" ht="12.75" customHeight="1">
      <c r="A11" s="15">
        <v>42492</v>
      </c>
      <c r="B11">
        <v>22</v>
      </c>
      <c r="C11" s="91">
        <v>40.29</v>
      </c>
      <c r="D11" s="91">
        <f t="shared" ref="D11:D12" si="7">O11/B11</f>
        <v>40.531172777272729</v>
      </c>
      <c r="E11" s="91"/>
      <c r="F11" s="91">
        <v>5</v>
      </c>
      <c r="G11" s="79">
        <f t="shared" ref="G11:G12" si="8">SUM(B11*C11*0.000345)</f>
        <v>0.30580109999999999</v>
      </c>
      <c r="H11" s="91"/>
      <c r="I11" s="91"/>
      <c r="J11" s="91"/>
      <c r="K11" s="91"/>
      <c r="L11" s="91"/>
      <c r="M11" s="91"/>
      <c r="N11" s="91"/>
      <c r="O11" s="91">
        <f t="shared" ref="O11:O12" si="9">B11*C11+F11+G11</f>
        <v>891.68580110000005</v>
      </c>
      <c r="P11" s="102"/>
    </row>
    <row r="12" spans="1:16" ht="12.75" customHeight="1">
      <c r="A12" s="15">
        <v>42583</v>
      </c>
      <c r="B12">
        <v>19</v>
      </c>
      <c r="C12" s="91">
        <v>55</v>
      </c>
      <c r="D12" s="91">
        <f t="shared" si="7"/>
        <v>55.282132894736847</v>
      </c>
      <c r="E12" s="91"/>
      <c r="F12" s="91">
        <v>5</v>
      </c>
      <c r="G12" s="79">
        <f t="shared" si="8"/>
        <v>0.36052499999999998</v>
      </c>
      <c r="H12" s="91"/>
      <c r="I12" s="91"/>
      <c r="J12" s="91"/>
      <c r="K12" s="91"/>
      <c r="L12" s="91"/>
      <c r="M12" s="91"/>
      <c r="N12" s="91"/>
      <c r="O12" s="91">
        <f t="shared" si="9"/>
        <v>1050.3605250000001</v>
      </c>
      <c r="P12" s="102"/>
    </row>
    <row r="13" spans="1:16" ht="12.75" customHeight="1">
      <c r="A13" s="15"/>
      <c r="C13" s="91"/>
      <c r="D13" s="91"/>
      <c r="E13" s="91"/>
      <c r="F13" s="91"/>
      <c r="G13" s="92"/>
      <c r="H13" s="91"/>
      <c r="I13" s="91"/>
      <c r="J13" s="91"/>
      <c r="K13" s="91"/>
      <c r="L13" s="91"/>
      <c r="M13" s="91"/>
      <c r="N13" s="91"/>
      <c r="O13" s="91"/>
      <c r="P13" s="102"/>
    </row>
    <row r="14" spans="1:16" ht="12.75" customHeight="1">
      <c r="A14" s="15"/>
      <c r="C14" s="91"/>
      <c r="D14" s="91"/>
      <c r="E14" s="91"/>
      <c r="F14" s="91"/>
      <c r="G14" s="92"/>
      <c r="H14" s="91"/>
      <c r="I14" s="91"/>
      <c r="J14" s="91"/>
      <c r="K14" s="91"/>
      <c r="L14" s="91"/>
      <c r="M14" s="91"/>
      <c r="N14" s="91"/>
      <c r="O14" s="91"/>
      <c r="P14" s="102"/>
    </row>
    <row r="15" spans="1:16" ht="12.75" customHeight="1">
      <c r="A15" s="26">
        <v>2016</v>
      </c>
      <c r="B15" s="103">
        <f>SUM(B10:B14)</f>
        <v>41</v>
      </c>
      <c r="C15" s="93">
        <f>SUM((O15/B15))</f>
        <v>47.366983563414635</v>
      </c>
      <c r="D15" s="93">
        <f>SUM((P15/B15))</f>
        <v>0</v>
      </c>
      <c r="E15" s="93"/>
      <c r="F15" s="93">
        <f t="shared" ref="F15:O15" si="10">SUM(F10:F14)</f>
        <v>10</v>
      </c>
      <c r="G15" s="93">
        <f t="shared" si="10"/>
        <v>0.66632610000000003</v>
      </c>
      <c r="H15" s="93">
        <f t="shared" si="10"/>
        <v>260.47621133950003</v>
      </c>
      <c r="I15" s="93">
        <f t="shared" si="10"/>
        <v>0</v>
      </c>
      <c r="J15" s="93">
        <f t="shared" si="10"/>
        <v>0</v>
      </c>
      <c r="K15" s="93">
        <f t="shared" si="10"/>
        <v>0</v>
      </c>
      <c r="L15" s="93">
        <f t="shared" si="10"/>
        <v>0</v>
      </c>
      <c r="M15" s="93">
        <f t="shared" si="10"/>
        <v>0</v>
      </c>
      <c r="N15" s="93">
        <f t="shared" si="10"/>
        <v>0</v>
      </c>
      <c r="O15" s="93">
        <f t="shared" si="10"/>
        <v>1942.0463261</v>
      </c>
      <c r="P15" s="93"/>
    </row>
    <row r="16" spans="1:16" ht="12.75" customHeight="1">
      <c r="A16" s="15"/>
      <c r="C16" s="91"/>
      <c r="D16" s="91"/>
      <c r="E16" s="91"/>
      <c r="F16" s="91"/>
      <c r="G16" s="92"/>
      <c r="H16" s="91"/>
      <c r="I16" s="91"/>
      <c r="J16" s="91"/>
      <c r="K16" s="91"/>
      <c r="L16" s="91"/>
      <c r="M16" s="91"/>
      <c r="N16" s="91"/>
      <c r="O16" s="91"/>
      <c r="P16" s="102"/>
    </row>
    <row r="17" spans="1:16" ht="12.75" customHeight="1">
      <c r="A17" s="15"/>
      <c r="C17" s="91"/>
      <c r="D17" s="91"/>
      <c r="E17" s="91"/>
      <c r="F17" s="91"/>
      <c r="G17" s="92"/>
      <c r="H17" s="91"/>
      <c r="I17" s="91"/>
      <c r="J17" s="91"/>
      <c r="K17" s="91"/>
      <c r="L17" s="91"/>
      <c r="M17" s="91"/>
      <c r="N17" s="91"/>
      <c r="O17" s="91"/>
      <c r="P17" s="102"/>
    </row>
    <row r="18" spans="1:16" ht="12.75" customHeight="1">
      <c r="A18" s="15"/>
      <c r="C18" s="91"/>
      <c r="D18" s="91"/>
      <c r="E18" s="91"/>
      <c r="F18" s="91"/>
      <c r="G18" s="92"/>
      <c r="H18" s="91"/>
      <c r="I18" s="91"/>
      <c r="J18" s="91"/>
      <c r="K18" s="91"/>
      <c r="L18" s="91"/>
      <c r="M18" s="91"/>
      <c r="N18" s="91"/>
      <c r="O18" s="91"/>
      <c r="P18" s="102"/>
    </row>
    <row r="19" spans="1:16" ht="12.75" customHeight="1">
      <c r="A19" s="26"/>
      <c r="B19" s="103">
        <f>SUM(B16:B18)</f>
        <v>0</v>
      </c>
      <c r="C19" s="93" t="e">
        <f>SUM((O19/B19))</f>
        <v>#DIV/0!</v>
      </c>
      <c r="D19" s="93" t="e">
        <f>SUM((P19/B19))</f>
        <v>#DIV/0!</v>
      </c>
      <c r="E19" s="93"/>
      <c r="F19" s="93">
        <f t="shared" ref="F19:P19" si="11">SUM(F16:F18)</f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3">
        <f t="shared" si="11"/>
        <v>0</v>
      </c>
      <c r="K19" s="93">
        <f t="shared" si="11"/>
        <v>0</v>
      </c>
      <c r="L19" s="93">
        <f t="shared" si="11"/>
        <v>0</v>
      </c>
      <c r="M19" s="93">
        <f t="shared" si="11"/>
        <v>0</v>
      </c>
      <c r="N19" s="93">
        <f t="shared" si="11"/>
        <v>0</v>
      </c>
      <c r="O19" s="93">
        <f t="shared" si="11"/>
        <v>0</v>
      </c>
      <c r="P19" s="93">
        <f t="shared" si="11"/>
        <v>0</v>
      </c>
    </row>
    <row r="20" spans="1:16" ht="12.75" customHeight="1">
      <c r="A20" s="15"/>
      <c r="C20" s="91"/>
      <c r="D20" s="91"/>
      <c r="E20" s="91"/>
      <c r="F20" s="91"/>
      <c r="G20" s="92"/>
      <c r="H20" s="91"/>
      <c r="I20" s="91"/>
      <c r="J20" s="91"/>
      <c r="K20" s="91"/>
      <c r="L20" s="91"/>
      <c r="M20" s="91"/>
      <c r="N20" s="91"/>
      <c r="O20" s="91"/>
      <c r="P20" s="102"/>
    </row>
  </sheetData>
  <conditionalFormatting sqref="B2:P20">
    <cfRule type="cellIs" dxfId="7" priority="1" stopIfTrue="1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/>
  <dimension ref="A1:P16"/>
  <sheetViews>
    <sheetView workbookViewId="0">
      <pane ySplit="2" topLeftCell="A3" activePane="bottomLeft" state="frozen"/>
      <selection pane="bottomLeft" activeCell="B4" sqref="B4"/>
    </sheetView>
  </sheetViews>
  <sheetFormatPr defaultColWidth="17.28515625" defaultRowHeight="15.75" customHeight="1"/>
  <cols>
    <col min="1" max="1" width="12.5703125" customWidth="1"/>
    <col min="2" max="2" width="10.5703125" customWidth="1"/>
    <col min="3" max="3" width="11" customWidth="1"/>
    <col min="4" max="4" width="9.42578125" customWidth="1"/>
    <col min="5" max="6" width="11" customWidth="1"/>
    <col min="7" max="7" width="12.85546875" customWidth="1"/>
    <col min="8" max="8" width="11.85546875" customWidth="1"/>
    <col min="9" max="9" width="13.140625" customWidth="1"/>
    <col min="10" max="10" width="12" customWidth="1"/>
    <col min="11" max="11" width="12.42578125" customWidth="1"/>
    <col min="12" max="12" width="11.85546875" customWidth="1"/>
    <col min="13" max="13" width="13.140625" customWidth="1"/>
    <col min="14" max="14" width="12.140625" customWidth="1"/>
    <col min="15" max="15" width="13.28515625" customWidth="1"/>
    <col min="16" max="16" width="12.5703125" customWidth="1"/>
  </cols>
  <sheetData>
    <row r="1" spans="1:16" ht="12.75" customHeight="1">
      <c r="A1" s="75" t="s">
        <v>41</v>
      </c>
      <c r="B1" s="3" t="s">
        <v>1</v>
      </c>
      <c r="C1" s="3" t="s">
        <v>62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44</v>
      </c>
      <c r="M1" s="3" t="s">
        <v>12</v>
      </c>
      <c r="N1" s="3" t="s">
        <v>13</v>
      </c>
      <c r="O1" s="3" t="s">
        <v>15</v>
      </c>
      <c r="P1" s="3"/>
    </row>
    <row r="2" spans="1:16" ht="12.75" customHeight="1">
      <c r="A2" s="6" t="str">
        <f ca="1">IFERROR(__xludf.DUMMYFUNCTION("GOOGLEFINANCE(A1)"),"R$ 8.81")</f>
        <v>R$ 8.81</v>
      </c>
      <c r="B2" s="122" t="e">
        <f ca="1">B4+B6+B11+B15</f>
        <v>#VALUE!</v>
      </c>
      <c r="C2" s="123" t="e">
        <f ca="1">SUM((O2-G2-F2)/B2)</f>
        <v>#VALUE!</v>
      </c>
      <c r="D2" s="123" t="e">
        <f ca="1">O2/B2</f>
        <v>#VALUE!</v>
      </c>
      <c r="E2" s="123"/>
      <c r="F2" s="123">
        <f t="shared" ref="F2:O2" si="0">F4+F6+F11+F15</f>
        <v>30</v>
      </c>
      <c r="G2" s="123">
        <f t="shared" si="0"/>
        <v>0.91861769999999998</v>
      </c>
      <c r="H2" s="123">
        <f t="shared" si="0"/>
        <v>0</v>
      </c>
      <c r="I2" s="123">
        <f t="shared" si="0"/>
        <v>0</v>
      </c>
      <c r="J2" s="123">
        <f t="shared" si="0"/>
        <v>9.7752414840000004</v>
      </c>
      <c r="K2" s="123">
        <f t="shared" si="0"/>
        <v>0</v>
      </c>
      <c r="L2" s="123">
        <f t="shared" si="0"/>
        <v>0</v>
      </c>
      <c r="M2" s="123">
        <f t="shared" si="0"/>
        <v>0</v>
      </c>
      <c r="N2" s="123">
        <f t="shared" si="0"/>
        <v>0</v>
      </c>
      <c r="O2" s="123">
        <f t="shared" si="0"/>
        <v>2693.5786177</v>
      </c>
      <c r="P2" s="123"/>
    </row>
    <row r="3" spans="1:16" ht="12.75" customHeight="1">
      <c r="A3" s="15">
        <f ca="1">NOW()</f>
        <v>45511.687532986114</v>
      </c>
      <c r="B3" s="60" t="e">
        <f ca="1">O3/C3</f>
        <v>#VALUE!</v>
      </c>
      <c r="C3" s="60" t="str">
        <f ca="1">A2</f>
        <v>R$ 8.81</v>
      </c>
      <c r="D3" s="65"/>
      <c r="E3" s="65"/>
      <c r="F3" s="65"/>
      <c r="G3" s="22">
        <f>O3*0.000345</f>
        <v>0</v>
      </c>
      <c r="H3" s="65"/>
      <c r="I3" s="65"/>
      <c r="J3" s="65"/>
      <c r="K3" s="65"/>
      <c r="L3" s="65"/>
      <c r="M3" s="65"/>
      <c r="N3" s="65"/>
      <c r="O3" s="65">
        <f>P!Q9</f>
        <v>0</v>
      </c>
      <c r="P3" s="65"/>
    </row>
    <row r="4" spans="1:16" ht="12.75" customHeight="1">
      <c r="A4" s="26" t="s">
        <v>23</v>
      </c>
      <c r="B4" s="124" t="e">
        <f ca="1">SUM(B3)</f>
        <v>#VALUE!</v>
      </c>
      <c r="C4" s="124"/>
      <c r="D4" s="124"/>
      <c r="E4" s="124"/>
      <c r="F4" s="124">
        <f t="shared" ref="F4:K4" si="1">SUM(F3)</f>
        <v>0</v>
      </c>
      <c r="G4" s="124">
        <f t="shared" si="1"/>
        <v>0</v>
      </c>
      <c r="H4" s="124">
        <f t="shared" si="1"/>
        <v>0</v>
      </c>
      <c r="I4" s="124">
        <f t="shared" si="1"/>
        <v>0</v>
      </c>
      <c r="J4" s="124">
        <f t="shared" si="1"/>
        <v>0</v>
      </c>
      <c r="K4" s="124">
        <f t="shared" si="1"/>
        <v>0</v>
      </c>
      <c r="L4" s="124"/>
      <c r="M4" s="124">
        <f t="shared" ref="M4:O4" si="2">SUM(M3)</f>
        <v>0</v>
      </c>
      <c r="N4" s="124">
        <f t="shared" si="2"/>
        <v>0</v>
      </c>
      <c r="O4" s="124">
        <f t="shared" si="2"/>
        <v>0</v>
      </c>
      <c r="P4" s="124"/>
    </row>
    <row r="5" spans="1:16" ht="12.75" customHeight="1">
      <c r="A5" s="15">
        <v>42339</v>
      </c>
      <c r="B5" s="125">
        <v>123</v>
      </c>
      <c r="C5" s="65">
        <v>6.37</v>
      </c>
      <c r="D5" s="65">
        <f>O5/B5</f>
        <v>6.4534984630081293</v>
      </c>
      <c r="E5" s="65"/>
      <c r="F5" s="65">
        <v>10</v>
      </c>
      <c r="G5" s="24">
        <f>SUM(B5*C5*0.000345)</f>
        <v>0.27031094999999999</v>
      </c>
      <c r="H5" s="65"/>
      <c r="I5" s="65"/>
      <c r="J5" s="65"/>
      <c r="K5" s="65"/>
      <c r="L5" s="65"/>
      <c r="M5" s="65"/>
      <c r="N5" s="65"/>
      <c r="O5" s="65">
        <f>B5*C5+F5+G5</f>
        <v>793.78031094999994</v>
      </c>
      <c r="P5" s="65"/>
    </row>
    <row r="6" spans="1:16" ht="12.75" customHeight="1">
      <c r="A6" s="26">
        <v>2015</v>
      </c>
      <c r="B6" s="126">
        <f>SUM(B5)</f>
        <v>123</v>
      </c>
      <c r="C6" s="124">
        <f>SUM((O6/B6))</f>
        <v>6.4534984630081293</v>
      </c>
      <c r="D6" s="124">
        <f>SUM((P6/B6))</f>
        <v>0</v>
      </c>
      <c r="E6" s="124"/>
      <c r="F6" s="124">
        <f>SUM(F5)</f>
        <v>10</v>
      </c>
      <c r="G6" s="124">
        <f t="shared" ref="G6:K6" si="3">SUM(G3:G5)</f>
        <v>0.27031094999999999</v>
      </c>
      <c r="H6" s="124">
        <f t="shared" si="3"/>
        <v>0</v>
      </c>
      <c r="I6" s="124">
        <f t="shared" si="3"/>
        <v>0</v>
      </c>
      <c r="J6" s="124">
        <f t="shared" si="3"/>
        <v>0</v>
      </c>
      <c r="K6" s="124">
        <f t="shared" si="3"/>
        <v>0</v>
      </c>
      <c r="L6" s="124"/>
      <c r="M6" s="124">
        <f t="shared" ref="M6:N6" si="4">SUM(M3:M5)</f>
        <v>0</v>
      </c>
      <c r="N6" s="124">
        <f t="shared" si="4"/>
        <v>0</v>
      </c>
      <c r="O6" s="124">
        <f>SUM(O5)</f>
        <v>793.78031094999994</v>
      </c>
      <c r="P6" s="124"/>
    </row>
    <row r="7" spans="1:16" ht="12.75" customHeight="1">
      <c r="A7" s="15">
        <v>42430</v>
      </c>
      <c r="B7" s="125">
        <v>170</v>
      </c>
      <c r="C7" s="65">
        <v>5.9</v>
      </c>
      <c r="D7" s="65">
        <f>O7/B7</f>
        <v>5.9608590294117656</v>
      </c>
      <c r="E7" s="65"/>
      <c r="F7" s="65">
        <v>10</v>
      </c>
      <c r="G7" s="24">
        <f t="shared" ref="G7:G9" si="5">SUM(B7*C7*0.000345)</f>
        <v>0.34603500000000004</v>
      </c>
      <c r="H7" s="65"/>
      <c r="I7" s="65"/>
      <c r="J7" s="65"/>
      <c r="K7" s="65"/>
      <c r="L7" s="65"/>
      <c r="M7" s="65"/>
      <c r="N7" s="65"/>
      <c r="O7" s="65">
        <f t="shared" ref="O7:O9" si="6">B7*C7+F7+G7</f>
        <v>1013.3460350000001</v>
      </c>
      <c r="P7" s="55"/>
    </row>
    <row r="8" spans="1:16" ht="12.75" customHeight="1">
      <c r="A8" s="15">
        <v>42551</v>
      </c>
      <c r="B8" s="125"/>
      <c r="C8" s="65"/>
      <c r="D8" s="65"/>
      <c r="E8" s="65"/>
      <c r="F8" s="65"/>
      <c r="G8" s="24">
        <f t="shared" si="5"/>
        <v>0</v>
      </c>
      <c r="H8" s="65"/>
      <c r="I8" s="65"/>
      <c r="J8" s="65">
        <f>0.079473508*123</f>
        <v>9.7752414840000004</v>
      </c>
      <c r="K8" s="65"/>
      <c r="L8" s="65"/>
      <c r="M8" s="65"/>
      <c r="N8" s="65"/>
      <c r="O8" s="65">
        <f t="shared" si="6"/>
        <v>0</v>
      </c>
      <c r="P8" s="55"/>
    </row>
    <row r="9" spans="1:16" ht="12.75" customHeight="1">
      <c r="A9" s="15">
        <v>42614</v>
      </c>
      <c r="B9" s="125">
        <v>99</v>
      </c>
      <c r="C9" s="65">
        <v>8.85</v>
      </c>
      <c r="D9" s="65"/>
      <c r="E9" s="65"/>
      <c r="F9" s="65">
        <v>10</v>
      </c>
      <c r="G9" s="24">
        <f t="shared" si="5"/>
        <v>0.30227174999999995</v>
      </c>
      <c r="H9" s="65"/>
      <c r="I9" s="65"/>
      <c r="J9" s="65"/>
      <c r="K9" s="65"/>
      <c r="L9" s="65"/>
      <c r="M9" s="65"/>
      <c r="N9" s="65"/>
      <c r="O9" s="65">
        <f t="shared" si="6"/>
        <v>886.45227175000002</v>
      </c>
      <c r="P9" s="55"/>
    </row>
    <row r="10" spans="1:16" ht="12.75" customHeight="1">
      <c r="A10" s="15"/>
      <c r="B10" s="125"/>
      <c r="C10" s="65"/>
      <c r="D10" s="65"/>
      <c r="E10" s="65"/>
      <c r="F10" s="65"/>
      <c r="G10" s="22"/>
      <c r="H10" s="65"/>
      <c r="I10" s="65"/>
      <c r="J10" s="65"/>
      <c r="K10" s="65"/>
      <c r="L10" s="65"/>
      <c r="M10" s="65"/>
      <c r="N10" s="65"/>
      <c r="O10" s="65"/>
      <c r="P10" s="55"/>
    </row>
    <row r="11" spans="1:16" ht="12.75" customHeight="1">
      <c r="A11" s="26">
        <v>2016</v>
      </c>
      <c r="B11" s="126">
        <f>SUM(B7:B10)</f>
        <v>269</v>
      </c>
      <c r="C11" s="124">
        <f>SUM((O11/B11))</f>
        <v>7.0624472369888478</v>
      </c>
      <c r="D11" s="124">
        <f>O11/B11</f>
        <v>7.0624472369888478</v>
      </c>
      <c r="E11" s="124"/>
      <c r="F11" s="124">
        <f t="shared" ref="F11:O11" si="7">SUM(F7:F10)</f>
        <v>20</v>
      </c>
      <c r="G11" s="124">
        <f t="shared" si="7"/>
        <v>0.64830674999999993</v>
      </c>
      <c r="H11" s="124">
        <f t="shared" si="7"/>
        <v>0</v>
      </c>
      <c r="I11" s="124">
        <f t="shared" si="7"/>
        <v>0</v>
      </c>
      <c r="J11" s="124">
        <f t="shared" si="7"/>
        <v>9.7752414840000004</v>
      </c>
      <c r="K11" s="124">
        <f t="shared" si="7"/>
        <v>0</v>
      </c>
      <c r="L11" s="124">
        <f t="shared" si="7"/>
        <v>0</v>
      </c>
      <c r="M11" s="124">
        <f t="shared" si="7"/>
        <v>0</v>
      </c>
      <c r="N11" s="124">
        <f t="shared" si="7"/>
        <v>0</v>
      </c>
      <c r="O11" s="124">
        <f t="shared" si="7"/>
        <v>1899.7983067500002</v>
      </c>
      <c r="P11" s="124"/>
    </row>
    <row r="12" spans="1:16" ht="12.75" customHeight="1">
      <c r="A12" s="15"/>
      <c r="B12" s="125"/>
      <c r="C12" s="65"/>
      <c r="D12" s="65"/>
      <c r="E12" s="65"/>
      <c r="F12" s="65"/>
      <c r="G12" s="22"/>
      <c r="H12" s="65"/>
      <c r="I12" s="65"/>
      <c r="J12" s="65"/>
      <c r="K12" s="65"/>
      <c r="L12" s="65"/>
      <c r="M12" s="65"/>
      <c r="N12" s="65"/>
      <c r="O12" s="65"/>
      <c r="P12" s="55"/>
    </row>
    <row r="13" spans="1:16" ht="12.75" customHeight="1">
      <c r="A13" s="15"/>
      <c r="B13" s="125"/>
      <c r="C13" s="65"/>
      <c r="D13" s="65"/>
      <c r="E13" s="65"/>
      <c r="F13" s="65"/>
      <c r="G13" s="22"/>
      <c r="H13" s="65"/>
      <c r="I13" s="65"/>
      <c r="J13" s="65"/>
      <c r="K13" s="65"/>
      <c r="L13" s="65"/>
      <c r="M13" s="65"/>
      <c r="N13" s="65"/>
      <c r="O13" s="65"/>
      <c r="P13" s="55"/>
    </row>
    <row r="14" spans="1:16" ht="12.75" customHeight="1">
      <c r="A14" s="15"/>
      <c r="B14" s="125"/>
      <c r="C14" s="65"/>
      <c r="D14" s="65"/>
      <c r="E14" s="65"/>
      <c r="F14" s="65"/>
      <c r="G14" s="22"/>
      <c r="H14" s="65"/>
      <c r="I14" s="65"/>
      <c r="J14" s="65"/>
      <c r="K14" s="65"/>
      <c r="L14" s="65"/>
      <c r="M14" s="65"/>
      <c r="N14" s="65"/>
      <c r="O14" s="65"/>
      <c r="P14" s="55"/>
    </row>
    <row r="15" spans="1:16" ht="12.75" customHeight="1">
      <c r="A15" s="26"/>
      <c r="B15" s="127">
        <f>SUM(B12:B14)</f>
        <v>0</v>
      </c>
      <c r="C15" s="124" t="e">
        <f>SUM((O15/B15))</f>
        <v>#DIV/0!</v>
      </c>
      <c r="D15" s="124" t="e">
        <f>SUM((P15/B15))</f>
        <v>#DIV/0!</v>
      </c>
      <c r="E15" s="124"/>
      <c r="F15" s="124">
        <f t="shared" ref="F15:O15" si="8">SUM(F12:F14)</f>
        <v>0</v>
      </c>
      <c r="G15" s="124">
        <f t="shared" si="8"/>
        <v>0</v>
      </c>
      <c r="H15" s="124">
        <f t="shared" si="8"/>
        <v>0</v>
      </c>
      <c r="I15" s="124">
        <f t="shared" si="8"/>
        <v>0</v>
      </c>
      <c r="J15" s="124">
        <f t="shared" si="8"/>
        <v>0</v>
      </c>
      <c r="K15" s="124">
        <f t="shared" si="8"/>
        <v>0</v>
      </c>
      <c r="L15" s="124">
        <f t="shared" si="8"/>
        <v>0</v>
      </c>
      <c r="M15" s="124">
        <f t="shared" si="8"/>
        <v>0</v>
      </c>
      <c r="N15" s="124">
        <f t="shared" si="8"/>
        <v>0</v>
      </c>
      <c r="O15" s="124">
        <f t="shared" si="8"/>
        <v>0</v>
      </c>
      <c r="P15" s="124"/>
    </row>
    <row r="16" spans="1:16" ht="12.75" customHeight="1">
      <c r="A16" s="15"/>
      <c r="B16" s="125"/>
      <c r="C16" s="65"/>
      <c r="D16" s="65"/>
      <c r="E16" s="65"/>
      <c r="F16" s="65"/>
      <c r="G16" s="22"/>
      <c r="H16" s="65"/>
      <c r="I16" s="65"/>
      <c r="J16" s="65"/>
      <c r="K16" s="65"/>
      <c r="L16" s="65"/>
      <c r="M16" s="65"/>
      <c r="N16" s="65"/>
      <c r="O16" s="65"/>
      <c r="P16" s="55"/>
    </row>
  </sheetData>
  <conditionalFormatting sqref="B2:P16">
    <cfRule type="cellIs" dxfId="6" priority="1" stopIfTrue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0"/>
  <dimension ref="A1:P18"/>
  <sheetViews>
    <sheetView workbookViewId="0">
      <pane ySplit="2" topLeftCell="A3" activePane="bottomLeft" state="frozen"/>
      <selection pane="bottomLeft" activeCell="B4" sqref="B4"/>
    </sheetView>
  </sheetViews>
  <sheetFormatPr defaultColWidth="17.28515625" defaultRowHeight="15.75" customHeight="1"/>
  <cols>
    <col min="1" max="1" width="12.5703125" customWidth="1"/>
    <col min="2" max="2" width="10.5703125" customWidth="1"/>
    <col min="3" max="3" width="11" customWidth="1"/>
    <col min="4" max="4" width="9.42578125" customWidth="1"/>
    <col min="5" max="6" width="11" customWidth="1"/>
    <col min="7" max="7" width="12.85546875" customWidth="1"/>
    <col min="8" max="8" width="11.85546875" customWidth="1"/>
    <col min="9" max="9" width="13.140625" customWidth="1"/>
    <col min="10" max="10" width="12" customWidth="1"/>
    <col min="11" max="11" width="12.42578125" customWidth="1"/>
    <col min="12" max="12" width="11.85546875" customWidth="1"/>
    <col min="13" max="13" width="13.140625" customWidth="1"/>
    <col min="14" max="14" width="12.140625" customWidth="1"/>
    <col min="15" max="15" width="13.28515625" customWidth="1"/>
    <col min="16" max="16" width="12.5703125" customWidth="1"/>
  </cols>
  <sheetData>
    <row r="1" spans="1:16" ht="12.75" customHeight="1">
      <c r="A1" s="75" t="s">
        <v>66</v>
      </c>
      <c r="B1" s="3" t="s">
        <v>1</v>
      </c>
      <c r="C1" s="3" t="s">
        <v>62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44</v>
      </c>
      <c r="M1" s="3" t="s">
        <v>12</v>
      </c>
      <c r="N1" s="3" t="s">
        <v>13</v>
      </c>
      <c r="O1" s="3" t="s">
        <v>15</v>
      </c>
      <c r="P1" s="3"/>
    </row>
    <row r="2" spans="1:16" ht="12.75" customHeight="1">
      <c r="A2" s="6" t="str">
        <f ca="1">IFERROR(__xludf.DUMMYFUNCTION("GOOGLEFINANCE(A1)"),"R$ 15.00")</f>
        <v>R$ 15.00</v>
      </c>
      <c r="B2" s="122" t="e">
        <f ca="1">B4+B9+B13+B17</f>
        <v>#VALUE!</v>
      </c>
      <c r="C2" s="123" t="e">
        <f ca="1">O2/B2</f>
        <v>#VALUE!</v>
      </c>
      <c r="D2" s="123" t="e">
        <f ca="1">O2/B2</f>
        <v>#VALUE!</v>
      </c>
      <c r="E2" s="123"/>
      <c r="F2" s="123">
        <f t="shared" ref="F2:O2" si="0">F4+F9+F13+F17</f>
        <v>40</v>
      </c>
      <c r="G2" s="123">
        <f t="shared" si="0"/>
        <v>1.5409562999999999</v>
      </c>
      <c r="H2" s="123">
        <f t="shared" si="0"/>
        <v>0</v>
      </c>
      <c r="I2" s="123">
        <f t="shared" si="0"/>
        <v>0</v>
      </c>
      <c r="J2" s="123">
        <f t="shared" si="0"/>
        <v>0</v>
      </c>
      <c r="K2" s="123">
        <f t="shared" si="0"/>
        <v>0</v>
      </c>
      <c r="L2" s="123">
        <f t="shared" si="0"/>
        <v>0</v>
      </c>
      <c r="M2" s="123">
        <f t="shared" si="0"/>
        <v>0</v>
      </c>
      <c r="N2" s="123">
        <f t="shared" si="0"/>
        <v>0</v>
      </c>
      <c r="O2" s="123">
        <f t="shared" si="0"/>
        <v>4503.0809563000003</v>
      </c>
      <c r="P2" s="123"/>
    </row>
    <row r="3" spans="1:16" ht="12.75" customHeight="1">
      <c r="A3" s="15">
        <f ca="1">NOW()</f>
        <v>45511.687532986114</v>
      </c>
      <c r="B3" s="60" t="e">
        <f ca="1">O3/C3</f>
        <v>#VALUE!</v>
      </c>
      <c r="C3" s="60" t="str">
        <f ca="1">A2</f>
        <v>R$ 15.00</v>
      </c>
      <c r="D3" s="65"/>
      <c r="E3" s="65"/>
      <c r="F3" s="65">
        <v>5</v>
      </c>
      <c r="G3" s="22">
        <f>O3*0.000345</f>
        <v>0</v>
      </c>
      <c r="H3" s="65"/>
      <c r="I3" s="65"/>
      <c r="J3" s="65"/>
      <c r="K3" s="65"/>
      <c r="L3" s="65"/>
      <c r="M3" s="65"/>
      <c r="N3" s="65"/>
      <c r="O3" s="65">
        <f>P!Q11</f>
        <v>0</v>
      </c>
      <c r="P3" s="65"/>
    </row>
    <row r="4" spans="1:16" ht="12.75" customHeight="1">
      <c r="A4" s="26" t="s">
        <v>23</v>
      </c>
      <c r="B4" s="130" t="e">
        <f ca="1">SUM(B3)</f>
        <v>#VALUE!</v>
      </c>
      <c r="C4" s="124"/>
      <c r="D4" s="124"/>
      <c r="E4" s="124"/>
      <c r="F4" s="124">
        <f t="shared" ref="F4:K4" si="1">SUM(F3)</f>
        <v>5</v>
      </c>
      <c r="G4" s="124">
        <f t="shared" si="1"/>
        <v>0</v>
      </c>
      <c r="H4" s="124">
        <f t="shared" si="1"/>
        <v>0</v>
      </c>
      <c r="I4" s="124">
        <f t="shared" si="1"/>
        <v>0</v>
      </c>
      <c r="J4" s="124">
        <f t="shared" si="1"/>
        <v>0</v>
      </c>
      <c r="K4" s="124">
        <f t="shared" si="1"/>
        <v>0</v>
      </c>
      <c r="L4" s="124"/>
      <c r="M4" s="124">
        <f t="shared" ref="M4:O4" si="2">SUM(M3)</f>
        <v>0</v>
      </c>
      <c r="N4" s="124">
        <f t="shared" si="2"/>
        <v>0</v>
      </c>
      <c r="O4" s="124">
        <f t="shared" si="2"/>
        <v>0</v>
      </c>
      <c r="P4" s="124"/>
    </row>
    <row r="5" spans="1:16" ht="12.75" customHeight="1">
      <c r="A5" s="15">
        <v>42065</v>
      </c>
      <c r="B5" s="125">
        <v>125</v>
      </c>
      <c r="C5" s="65">
        <v>9.4</v>
      </c>
      <c r="D5" s="65">
        <f t="shared" ref="D5:D9" si="3">O5/B5</f>
        <v>9.4432430000000007</v>
      </c>
      <c r="E5" s="65"/>
      <c r="F5" s="65">
        <v>5</v>
      </c>
      <c r="G5" s="24">
        <f t="shared" ref="G5:G8" si="4">SUM(B5*C5*0.000345)</f>
        <v>0.40537499999999999</v>
      </c>
      <c r="H5" s="65"/>
      <c r="I5" s="65"/>
      <c r="J5" s="65"/>
      <c r="K5" s="65"/>
      <c r="L5" s="65"/>
      <c r="M5" s="65"/>
      <c r="N5" s="65"/>
      <c r="O5" s="65">
        <f t="shared" ref="O5:O8" si="5">B5*C5+F5+G5</f>
        <v>1180.405375</v>
      </c>
      <c r="P5" s="24"/>
    </row>
    <row r="6" spans="1:16" ht="12.75" customHeight="1">
      <c r="A6" s="15">
        <v>42186</v>
      </c>
      <c r="B6" s="125">
        <v>71</v>
      </c>
      <c r="C6" s="65">
        <v>12.18</v>
      </c>
      <c r="D6" s="65">
        <f t="shared" si="3"/>
        <v>12.254624635211266</v>
      </c>
      <c r="E6" s="65"/>
      <c r="F6" s="65">
        <v>5</v>
      </c>
      <c r="G6" s="24">
        <f t="shared" si="4"/>
        <v>0.29834909999999998</v>
      </c>
      <c r="H6" s="65"/>
      <c r="I6" s="65"/>
      <c r="J6" s="65"/>
      <c r="K6" s="65"/>
      <c r="L6" s="65"/>
      <c r="M6" s="65"/>
      <c r="N6" s="65"/>
      <c r="O6" s="65">
        <f t="shared" si="5"/>
        <v>870.07834909999997</v>
      </c>
      <c r="P6" s="24"/>
    </row>
    <row r="7" spans="1:16" ht="12.75" customHeight="1">
      <c r="A7" s="15">
        <v>42248</v>
      </c>
      <c r="B7" s="125">
        <v>91</v>
      </c>
      <c r="C7" s="65">
        <v>8.59</v>
      </c>
      <c r="D7" s="65">
        <f t="shared" si="3"/>
        <v>8.6479086049450551</v>
      </c>
      <c r="E7" s="65"/>
      <c r="F7" s="65">
        <v>5</v>
      </c>
      <c r="G7" s="24">
        <f t="shared" si="4"/>
        <v>0.26968304999999998</v>
      </c>
      <c r="H7" s="65"/>
      <c r="I7" s="65"/>
      <c r="J7" s="65"/>
      <c r="K7" s="65"/>
      <c r="L7" s="65"/>
      <c r="M7" s="65"/>
      <c r="N7" s="65"/>
      <c r="O7" s="65">
        <f t="shared" si="5"/>
        <v>786.95968304999997</v>
      </c>
      <c r="P7" s="24"/>
    </row>
    <row r="8" spans="1:16" ht="12.75" customHeight="1">
      <c r="A8" s="15">
        <v>42307</v>
      </c>
      <c r="B8" s="125">
        <v>101</v>
      </c>
      <c r="C8" s="65">
        <v>7.71</v>
      </c>
      <c r="D8" s="65">
        <f t="shared" si="3"/>
        <v>7.8116698509900999</v>
      </c>
      <c r="E8" s="65"/>
      <c r="F8" s="65">
        <v>10</v>
      </c>
      <c r="G8" s="24">
        <f t="shared" si="4"/>
        <v>0.26865495</v>
      </c>
      <c r="H8" s="65"/>
      <c r="I8" s="65"/>
      <c r="J8" s="65"/>
      <c r="K8" s="65"/>
      <c r="L8" s="65"/>
      <c r="M8" s="65"/>
      <c r="N8" s="65"/>
      <c r="O8" s="65">
        <f t="shared" si="5"/>
        <v>788.97865495000008</v>
      </c>
      <c r="P8" s="24"/>
    </row>
    <row r="9" spans="1:16" ht="12.75" customHeight="1">
      <c r="A9" s="26">
        <v>2015</v>
      </c>
      <c r="B9" s="126">
        <f>SUM(B5:B8)</f>
        <v>388</v>
      </c>
      <c r="C9" s="124"/>
      <c r="D9" s="124">
        <f t="shared" si="3"/>
        <v>9.3464486136597937</v>
      </c>
      <c r="E9" s="124"/>
      <c r="F9" s="124">
        <f t="shared" ref="F9:O9" si="6">SUM(F5:F8)</f>
        <v>25</v>
      </c>
      <c r="G9" s="124">
        <f t="shared" si="6"/>
        <v>1.2420620999999998</v>
      </c>
      <c r="H9" s="124">
        <f t="shared" si="6"/>
        <v>0</v>
      </c>
      <c r="I9" s="124">
        <f t="shared" si="6"/>
        <v>0</v>
      </c>
      <c r="J9" s="124">
        <f t="shared" si="6"/>
        <v>0</v>
      </c>
      <c r="K9" s="124">
        <f t="shared" si="6"/>
        <v>0</v>
      </c>
      <c r="L9" s="124">
        <f t="shared" si="6"/>
        <v>0</v>
      </c>
      <c r="M9" s="124">
        <f t="shared" si="6"/>
        <v>0</v>
      </c>
      <c r="N9" s="124">
        <f t="shared" si="6"/>
        <v>0</v>
      </c>
      <c r="O9" s="124">
        <f t="shared" si="6"/>
        <v>3626.4220620999999</v>
      </c>
      <c r="P9" s="124"/>
    </row>
    <row r="10" spans="1:16" ht="12.75" customHeight="1">
      <c r="A10" s="15">
        <v>42401</v>
      </c>
      <c r="B10" s="125">
        <v>179</v>
      </c>
      <c r="C10" s="65">
        <v>4.84</v>
      </c>
      <c r="D10" s="65"/>
      <c r="E10" s="65"/>
      <c r="F10" s="65">
        <v>10</v>
      </c>
      <c r="G10" s="24">
        <f>SUM(B10*C10*0.000345)</f>
        <v>0.2988942</v>
      </c>
      <c r="H10" s="65"/>
      <c r="I10" s="65"/>
      <c r="J10" s="65"/>
      <c r="K10" s="65"/>
      <c r="L10" s="65"/>
      <c r="M10" s="65"/>
      <c r="N10" s="65"/>
      <c r="O10" s="65">
        <f>B10*C10+F10+G10</f>
        <v>876.65889419999996</v>
      </c>
      <c r="P10" s="55"/>
    </row>
    <row r="11" spans="1:16" ht="12.75" customHeight="1">
      <c r="A11" s="15"/>
      <c r="B11" s="125"/>
      <c r="C11" s="65"/>
      <c r="D11" s="65"/>
      <c r="E11" s="65"/>
      <c r="F11" s="65"/>
      <c r="G11" s="22"/>
      <c r="H11" s="65"/>
      <c r="I11" s="65"/>
      <c r="J11" s="65"/>
      <c r="K11" s="65"/>
      <c r="L11" s="65"/>
      <c r="M11" s="65"/>
      <c r="N11" s="65"/>
      <c r="O11" s="65">
        <f t="shared" ref="O11:O12" si="7">B11*C11</f>
        <v>0</v>
      </c>
      <c r="P11" s="55"/>
    </row>
    <row r="12" spans="1:16" ht="12.75" customHeight="1">
      <c r="A12" s="15"/>
      <c r="B12" s="58"/>
      <c r="C12" s="60"/>
      <c r="D12" s="65"/>
      <c r="E12" s="65"/>
      <c r="F12" s="65"/>
      <c r="G12" s="22"/>
      <c r="H12" s="65"/>
      <c r="I12" s="65"/>
      <c r="J12" s="65"/>
      <c r="K12" s="65"/>
      <c r="L12" s="65"/>
      <c r="M12" s="65"/>
      <c r="N12" s="65"/>
      <c r="O12" s="65">
        <f t="shared" si="7"/>
        <v>0</v>
      </c>
      <c r="P12" s="55"/>
    </row>
    <row r="13" spans="1:16" ht="12.75" customHeight="1">
      <c r="A13" s="26">
        <v>2016</v>
      </c>
      <c r="B13" s="126">
        <f>SUM(B10:B12)</f>
        <v>179</v>
      </c>
      <c r="C13" s="124"/>
      <c r="D13" s="124"/>
      <c r="E13" s="124"/>
      <c r="F13" s="124">
        <f t="shared" ref="F13:O13" si="8">SUM(F10:F12)</f>
        <v>10</v>
      </c>
      <c r="G13" s="124">
        <f t="shared" si="8"/>
        <v>0.2988942</v>
      </c>
      <c r="H13" s="124">
        <f t="shared" si="8"/>
        <v>0</v>
      </c>
      <c r="I13" s="124">
        <f t="shared" si="8"/>
        <v>0</v>
      </c>
      <c r="J13" s="124">
        <f t="shared" si="8"/>
        <v>0</v>
      </c>
      <c r="K13" s="124">
        <f t="shared" si="8"/>
        <v>0</v>
      </c>
      <c r="L13" s="124">
        <f t="shared" si="8"/>
        <v>0</v>
      </c>
      <c r="M13" s="124">
        <f t="shared" si="8"/>
        <v>0</v>
      </c>
      <c r="N13" s="124">
        <f t="shared" si="8"/>
        <v>0</v>
      </c>
      <c r="O13" s="124">
        <f t="shared" si="8"/>
        <v>876.65889419999996</v>
      </c>
      <c r="P13" s="124"/>
    </row>
    <row r="14" spans="1:16" ht="12.75" customHeight="1">
      <c r="A14" s="15"/>
      <c r="B14" s="125"/>
      <c r="C14" s="65"/>
      <c r="D14" s="65"/>
      <c r="E14" s="65"/>
      <c r="F14" s="65"/>
      <c r="G14" s="22"/>
      <c r="H14" s="65"/>
      <c r="I14" s="65"/>
      <c r="J14" s="65"/>
      <c r="K14" s="65"/>
      <c r="L14" s="65"/>
      <c r="M14" s="65"/>
      <c r="N14" s="65"/>
      <c r="O14" s="65"/>
      <c r="P14" s="55"/>
    </row>
    <row r="15" spans="1:16" ht="12.75" customHeight="1">
      <c r="A15" s="15"/>
      <c r="B15" s="125"/>
      <c r="C15" s="65"/>
      <c r="D15" s="65"/>
      <c r="E15" s="65"/>
      <c r="F15" s="65"/>
      <c r="G15" s="22"/>
      <c r="H15" s="65"/>
      <c r="I15" s="65"/>
      <c r="J15" s="65"/>
      <c r="K15" s="65"/>
      <c r="L15" s="65"/>
      <c r="M15" s="65"/>
      <c r="N15" s="65"/>
      <c r="O15" s="65"/>
      <c r="P15" s="55"/>
    </row>
    <row r="16" spans="1:16" ht="12.75" customHeight="1">
      <c r="A16" s="15"/>
      <c r="B16" s="125"/>
      <c r="C16" s="65"/>
      <c r="D16" s="65"/>
      <c r="E16" s="65"/>
      <c r="F16" s="65"/>
      <c r="G16" s="22"/>
      <c r="H16" s="65"/>
      <c r="I16" s="65"/>
      <c r="J16" s="65"/>
      <c r="K16" s="65"/>
      <c r="L16" s="65"/>
      <c r="M16" s="65"/>
      <c r="N16" s="65"/>
      <c r="O16" s="65"/>
      <c r="P16" s="55"/>
    </row>
    <row r="17" spans="1:16" ht="12.75" customHeight="1">
      <c r="A17" s="132">
        <v>2017</v>
      </c>
      <c r="B17" s="126">
        <f>SUM(B14:B16)</f>
        <v>0</v>
      </c>
      <c r="C17" s="124"/>
      <c r="D17" s="124"/>
      <c r="E17" s="124"/>
      <c r="F17" s="124">
        <f t="shared" ref="F17:O17" si="9">SUM(F14:F16)</f>
        <v>0</v>
      </c>
      <c r="G17" s="124">
        <f t="shared" si="9"/>
        <v>0</v>
      </c>
      <c r="H17" s="124">
        <f t="shared" si="9"/>
        <v>0</v>
      </c>
      <c r="I17" s="124">
        <f t="shared" si="9"/>
        <v>0</v>
      </c>
      <c r="J17" s="124">
        <f t="shared" si="9"/>
        <v>0</v>
      </c>
      <c r="K17" s="124">
        <f t="shared" si="9"/>
        <v>0</v>
      </c>
      <c r="L17" s="124">
        <f t="shared" si="9"/>
        <v>0</v>
      </c>
      <c r="M17" s="124">
        <f t="shared" si="9"/>
        <v>0</v>
      </c>
      <c r="N17" s="124">
        <f t="shared" si="9"/>
        <v>0</v>
      </c>
      <c r="O17" s="124">
        <f t="shared" si="9"/>
        <v>0</v>
      </c>
      <c r="P17" s="124"/>
    </row>
    <row r="18" spans="1:16" ht="12.75" customHeight="1">
      <c r="A18" s="15"/>
      <c r="B18" s="125"/>
      <c r="C18" s="65"/>
      <c r="D18" s="65"/>
      <c r="E18" s="65"/>
      <c r="F18" s="65"/>
      <c r="G18" s="22"/>
      <c r="H18" s="65"/>
      <c r="I18" s="65"/>
      <c r="J18" s="65"/>
      <c r="K18" s="65"/>
      <c r="L18" s="65"/>
      <c r="M18" s="65"/>
      <c r="N18" s="65"/>
      <c r="O18" s="65"/>
      <c r="P18" s="55"/>
    </row>
  </sheetData>
  <conditionalFormatting sqref="B2:P18">
    <cfRule type="cellIs" dxfId="5" priority="1" stopIfTrue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1"/>
  <dimension ref="A1:P18"/>
  <sheetViews>
    <sheetView workbookViewId="0">
      <pane ySplit="2" topLeftCell="A3" activePane="bottomLeft" state="frozen"/>
      <selection pane="bottomLeft" activeCell="B4" sqref="B4"/>
    </sheetView>
  </sheetViews>
  <sheetFormatPr defaultColWidth="17.28515625" defaultRowHeight="15.75" customHeight="1"/>
  <cols>
    <col min="1" max="1" width="12.5703125" customWidth="1"/>
    <col min="2" max="2" width="10.5703125" customWidth="1"/>
    <col min="3" max="3" width="11" customWidth="1"/>
    <col min="4" max="4" width="9.42578125" customWidth="1"/>
    <col min="5" max="6" width="11" customWidth="1"/>
    <col min="7" max="7" width="12.85546875" customWidth="1"/>
    <col min="8" max="8" width="11.85546875" customWidth="1"/>
    <col min="9" max="9" width="13.140625" customWidth="1"/>
    <col min="10" max="10" width="12" customWidth="1"/>
    <col min="11" max="11" width="12.42578125" customWidth="1"/>
    <col min="12" max="12" width="11.85546875" customWidth="1"/>
    <col min="13" max="13" width="13.140625" customWidth="1"/>
    <col min="14" max="14" width="12.140625" customWidth="1"/>
    <col min="15" max="15" width="13.28515625" customWidth="1"/>
    <col min="16" max="16" width="12.5703125" customWidth="1"/>
  </cols>
  <sheetData>
    <row r="1" spans="1:16" ht="12.75" customHeight="1">
      <c r="A1" s="75" t="s">
        <v>65</v>
      </c>
      <c r="B1" s="3" t="s">
        <v>1</v>
      </c>
      <c r="C1" s="3" t="s">
        <v>62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44</v>
      </c>
      <c r="M1" s="3" t="s">
        <v>12</v>
      </c>
      <c r="N1" s="3" t="s">
        <v>13</v>
      </c>
      <c r="O1" s="3" t="s">
        <v>15</v>
      </c>
      <c r="P1" s="3"/>
    </row>
    <row r="2" spans="1:16" ht="12.75" customHeight="1">
      <c r="A2" s="6" t="str">
        <f ca="1">IFERROR(__xludf.DUMMYFUNCTION("GOOGLEFINANCE(A1)"),"R$ 10.30")</f>
        <v>R$ 10.30</v>
      </c>
      <c r="B2" s="123" t="e">
        <f ca="1">B4+B8+B13+B17</f>
        <v>#VALUE!</v>
      </c>
      <c r="C2" s="123" t="e">
        <f ca="1">O2/B2</f>
        <v>#VALUE!</v>
      </c>
      <c r="D2" s="123" t="e">
        <f ca="1">O2/B2</f>
        <v>#VALUE!</v>
      </c>
      <c r="E2" s="123"/>
      <c r="F2" s="123">
        <f t="shared" ref="F2:O2" si="0">F4+F8+F13+F17</f>
        <v>40</v>
      </c>
      <c r="G2" s="123">
        <f t="shared" si="0"/>
        <v>1.7554358999999999</v>
      </c>
      <c r="H2" s="123">
        <f t="shared" si="0"/>
        <v>0</v>
      </c>
      <c r="I2" s="123">
        <f t="shared" si="0"/>
        <v>0</v>
      </c>
      <c r="J2" s="123">
        <f t="shared" si="0"/>
        <v>0</v>
      </c>
      <c r="K2" s="123">
        <f t="shared" si="0"/>
        <v>0</v>
      </c>
      <c r="L2" s="123">
        <f t="shared" si="0"/>
        <v>0</v>
      </c>
      <c r="M2" s="123">
        <f t="shared" si="0"/>
        <v>0</v>
      </c>
      <c r="N2" s="123">
        <f t="shared" si="0"/>
        <v>0</v>
      </c>
      <c r="O2" s="123">
        <f t="shared" si="0"/>
        <v>5114.3950493000002</v>
      </c>
      <c r="P2" s="123"/>
    </row>
    <row r="3" spans="1:16" ht="12.75" customHeight="1">
      <c r="A3" s="15">
        <f ca="1">NOW()</f>
        <v>45511.687532986114</v>
      </c>
      <c r="B3" s="60" t="e">
        <f ca="1">O3/C3</f>
        <v>#VALUE!</v>
      </c>
      <c r="C3" s="60" t="str">
        <f ca="1">A2</f>
        <v>R$ 10.30</v>
      </c>
      <c r="D3" s="65"/>
      <c r="E3" s="65"/>
      <c r="F3" s="65">
        <v>5</v>
      </c>
      <c r="G3" s="22">
        <f>O3*0.000345</f>
        <v>0</v>
      </c>
      <c r="H3" s="65"/>
      <c r="I3" s="65"/>
      <c r="J3" s="65"/>
      <c r="K3" s="65"/>
      <c r="L3" s="65"/>
      <c r="M3" s="65"/>
      <c r="N3" s="65"/>
      <c r="O3" s="65">
        <f>P!Q10</f>
        <v>0</v>
      </c>
      <c r="P3" s="65"/>
    </row>
    <row r="4" spans="1:16" ht="12.75" customHeight="1">
      <c r="A4" s="26" t="s">
        <v>23</v>
      </c>
      <c r="B4" s="128" t="e">
        <f ca="1">SUM(B3)</f>
        <v>#VALUE!</v>
      </c>
      <c r="C4" s="124">
        <v>0</v>
      </c>
      <c r="D4" s="124">
        <v>0</v>
      </c>
      <c r="E4" s="124"/>
      <c r="F4" s="124">
        <f t="shared" ref="F4:K4" si="1">SUM(F3)</f>
        <v>5</v>
      </c>
      <c r="G4" s="124">
        <f t="shared" si="1"/>
        <v>0</v>
      </c>
      <c r="H4" s="124">
        <f t="shared" si="1"/>
        <v>0</v>
      </c>
      <c r="I4" s="124">
        <f t="shared" si="1"/>
        <v>0</v>
      </c>
      <c r="J4" s="124">
        <f t="shared" si="1"/>
        <v>0</v>
      </c>
      <c r="K4" s="124">
        <f t="shared" si="1"/>
        <v>0</v>
      </c>
      <c r="L4" s="124"/>
      <c r="M4" s="124">
        <f t="shared" ref="M4:O4" si="2">SUM(M3)</f>
        <v>0</v>
      </c>
      <c r="N4" s="124">
        <f t="shared" si="2"/>
        <v>0</v>
      </c>
      <c r="O4" s="124">
        <f t="shared" si="2"/>
        <v>0</v>
      </c>
      <c r="P4" s="124"/>
    </row>
    <row r="5" spans="1:16" ht="12.75" customHeight="1">
      <c r="A5" s="15">
        <v>42065</v>
      </c>
      <c r="B5" s="125">
        <v>171</v>
      </c>
      <c r="C5" s="65">
        <v>9.1999999999999993</v>
      </c>
      <c r="D5" s="65"/>
      <c r="E5" s="65"/>
      <c r="F5" s="65">
        <v>5</v>
      </c>
      <c r="G5" s="24">
        <f t="shared" ref="G5:G7" si="3">SUM(B5*C5*0.000345)</f>
        <v>0.54275399999999996</v>
      </c>
      <c r="H5" s="65"/>
      <c r="I5" s="65"/>
      <c r="J5" s="65"/>
      <c r="K5" s="65"/>
      <c r="L5" s="65"/>
      <c r="M5" s="65"/>
      <c r="N5" s="65"/>
      <c r="O5" s="65">
        <f>B5*C5+F5+G5</f>
        <v>1578.7427539999999</v>
      </c>
      <c r="P5" s="65"/>
    </row>
    <row r="6" spans="1:16" ht="12.75" customHeight="1">
      <c r="A6" s="15">
        <v>42219</v>
      </c>
      <c r="B6" s="125">
        <v>51</v>
      </c>
      <c r="C6" s="65">
        <v>15.38</v>
      </c>
      <c r="D6" s="65"/>
      <c r="E6" s="65"/>
      <c r="F6" s="65">
        <v>5</v>
      </c>
      <c r="G6" s="24">
        <f t="shared" si="3"/>
        <v>0.27061109999999999</v>
      </c>
      <c r="H6" s="65"/>
      <c r="I6" s="65"/>
      <c r="J6" s="65"/>
      <c r="K6" s="65"/>
      <c r="L6" s="65"/>
      <c r="M6" s="65"/>
      <c r="N6" s="65"/>
      <c r="O6" s="65">
        <f t="shared" ref="O6:O7" si="4">B6*C6</f>
        <v>784.38</v>
      </c>
      <c r="P6" s="65"/>
    </row>
    <row r="7" spans="1:16" ht="12.75" customHeight="1">
      <c r="A7" s="15">
        <v>42278</v>
      </c>
      <c r="B7" s="125">
        <v>82</v>
      </c>
      <c r="C7" s="65">
        <v>10.95</v>
      </c>
      <c r="D7" s="65"/>
      <c r="E7" s="65"/>
      <c r="F7" s="65">
        <v>5</v>
      </c>
      <c r="G7" s="24">
        <f t="shared" si="3"/>
        <v>0.30977549999999998</v>
      </c>
      <c r="H7" s="65"/>
      <c r="I7" s="65"/>
      <c r="J7" s="65"/>
      <c r="K7" s="65"/>
      <c r="L7" s="65"/>
      <c r="M7" s="65"/>
      <c r="N7" s="65"/>
      <c r="O7" s="65">
        <f t="shared" si="4"/>
        <v>897.9</v>
      </c>
      <c r="P7" s="65"/>
    </row>
    <row r="8" spans="1:16" ht="12.75" customHeight="1">
      <c r="A8" s="26">
        <v>2015</v>
      </c>
      <c r="B8" s="126">
        <f>SUM(B5:B7)</f>
        <v>304</v>
      </c>
      <c r="C8" s="124">
        <f>SUM((O8/B8))</f>
        <v>10.727048532894736</v>
      </c>
      <c r="D8" s="124">
        <f>SUM((P8/B8))</f>
        <v>0</v>
      </c>
      <c r="E8" s="124"/>
      <c r="F8" s="124">
        <f t="shared" ref="F8:O8" si="5">SUM(F5:F7)</f>
        <v>15</v>
      </c>
      <c r="G8" s="124">
        <f t="shared" si="5"/>
        <v>1.1231405999999999</v>
      </c>
      <c r="H8" s="124">
        <f t="shared" si="5"/>
        <v>0</v>
      </c>
      <c r="I8" s="124">
        <f t="shared" si="5"/>
        <v>0</v>
      </c>
      <c r="J8" s="124">
        <f t="shared" si="5"/>
        <v>0</v>
      </c>
      <c r="K8" s="124">
        <f t="shared" si="5"/>
        <v>0</v>
      </c>
      <c r="L8" s="124">
        <f t="shared" si="5"/>
        <v>0</v>
      </c>
      <c r="M8" s="124">
        <f t="shared" si="5"/>
        <v>0</v>
      </c>
      <c r="N8" s="124">
        <f t="shared" si="5"/>
        <v>0</v>
      </c>
      <c r="O8" s="124">
        <f t="shared" si="5"/>
        <v>3261.0227540000001</v>
      </c>
      <c r="P8" s="124"/>
    </row>
    <row r="9" spans="1:16" ht="12.75" customHeight="1">
      <c r="A9" s="15">
        <v>42461</v>
      </c>
      <c r="B9" s="125">
        <v>119</v>
      </c>
      <c r="C9" s="65">
        <v>8.06</v>
      </c>
      <c r="D9" s="65"/>
      <c r="E9" s="65"/>
      <c r="F9" s="65">
        <v>10</v>
      </c>
      <c r="G9" s="24">
        <f t="shared" ref="G9:G10" si="6">SUM(B9*C9*0.000345)</f>
        <v>0.33090330000000001</v>
      </c>
      <c r="H9" s="65"/>
      <c r="I9" s="65"/>
      <c r="J9" s="65"/>
      <c r="K9" s="65"/>
      <c r="L9" s="65"/>
      <c r="M9" s="65"/>
      <c r="N9" s="65"/>
      <c r="O9" s="65">
        <f t="shared" ref="O9:O11" si="7">B9*C9+F9+G9</f>
        <v>969.47090330000015</v>
      </c>
      <c r="P9" s="55"/>
    </row>
    <row r="10" spans="1:16" ht="12.75" customHeight="1">
      <c r="A10" s="15">
        <v>42522</v>
      </c>
      <c r="B10" s="125">
        <v>130</v>
      </c>
      <c r="C10" s="65">
        <v>6.72</v>
      </c>
      <c r="D10" s="65"/>
      <c r="E10" s="65"/>
      <c r="F10" s="65">
        <v>10</v>
      </c>
      <c r="G10" s="24">
        <f t="shared" si="6"/>
        <v>0.30139199999999999</v>
      </c>
      <c r="H10" s="65"/>
      <c r="I10" s="65"/>
      <c r="J10" s="65"/>
      <c r="K10" s="65"/>
      <c r="L10" s="65"/>
      <c r="M10" s="65"/>
      <c r="N10" s="65"/>
      <c r="O10" s="65">
        <f t="shared" si="7"/>
        <v>883.90139199999999</v>
      </c>
      <c r="P10" s="55"/>
    </row>
    <row r="11" spans="1:16" ht="12.75" customHeight="1">
      <c r="A11" s="15"/>
      <c r="B11" s="125"/>
      <c r="C11" s="65"/>
      <c r="D11" s="65"/>
      <c r="E11" s="65"/>
      <c r="F11" s="65"/>
      <c r="G11" s="22"/>
      <c r="H11" s="65"/>
      <c r="I11" s="65"/>
      <c r="J11" s="65"/>
      <c r="K11" s="65"/>
      <c r="L11" s="65"/>
      <c r="M11" s="65"/>
      <c r="N11" s="65"/>
      <c r="O11" s="65">
        <f t="shared" si="7"/>
        <v>0</v>
      </c>
      <c r="P11" s="55"/>
    </row>
    <row r="12" spans="1:16" ht="12.75" customHeight="1">
      <c r="A12" s="15"/>
      <c r="B12" s="125"/>
      <c r="C12" s="65"/>
      <c r="D12" s="65"/>
      <c r="E12" s="65"/>
      <c r="F12" s="65"/>
      <c r="G12" s="22">
        <f>O12*0.000345</f>
        <v>0</v>
      </c>
      <c r="H12" s="65"/>
      <c r="I12" s="65"/>
      <c r="J12" s="65"/>
      <c r="K12" s="65"/>
      <c r="L12" s="65"/>
      <c r="M12" s="65"/>
      <c r="N12" s="65"/>
      <c r="O12" s="65"/>
      <c r="P12" s="55"/>
    </row>
    <row r="13" spans="1:16" ht="12.75" customHeight="1">
      <c r="A13" s="26">
        <v>2016</v>
      </c>
      <c r="B13" s="126">
        <f>SUM(B9:B12)</f>
        <v>249</v>
      </c>
      <c r="C13" s="124">
        <f>SUM((O13/B13))</f>
        <v>7.4432622301204825</v>
      </c>
      <c r="D13" s="124">
        <f>SUM((P13/B13))</f>
        <v>0</v>
      </c>
      <c r="E13" s="124"/>
      <c r="F13" s="124">
        <f t="shared" ref="F13:O13" si="8">SUM(F9:F12)</f>
        <v>20</v>
      </c>
      <c r="G13" s="124">
        <f t="shared" si="8"/>
        <v>0.6322953</v>
      </c>
      <c r="H13" s="124">
        <f t="shared" si="8"/>
        <v>0</v>
      </c>
      <c r="I13" s="124">
        <f t="shared" si="8"/>
        <v>0</v>
      </c>
      <c r="J13" s="124">
        <f t="shared" si="8"/>
        <v>0</v>
      </c>
      <c r="K13" s="124">
        <f t="shared" si="8"/>
        <v>0</v>
      </c>
      <c r="L13" s="124">
        <f t="shared" si="8"/>
        <v>0</v>
      </c>
      <c r="M13" s="124">
        <f t="shared" si="8"/>
        <v>0</v>
      </c>
      <c r="N13" s="124">
        <f t="shared" si="8"/>
        <v>0</v>
      </c>
      <c r="O13" s="124">
        <f t="shared" si="8"/>
        <v>1853.3722953000001</v>
      </c>
      <c r="P13" s="124"/>
    </row>
    <row r="14" spans="1:16" ht="12.75" customHeight="1">
      <c r="A14" s="15"/>
      <c r="B14" s="125"/>
      <c r="C14" s="65"/>
      <c r="D14" s="65"/>
      <c r="E14" s="65"/>
      <c r="F14" s="65"/>
      <c r="G14" s="22"/>
      <c r="H14" s="65"/>
      <c r="I14" s="65"/>
      <c r="J14" s="65"/>
      <c r="K14" s="65"/>
      <c r="L14" s="65"/>
      <c r="M14" s="65"/>
      <c r="N14" s="65"/>
      <c r="O14" s="65"/>
      <c r="P14" s="55"/>
    </row>
    <row r="15" spans="1:16" ht="12.75" customHeight="1">
      <c r="A15" s="15"/>
      <c r="B15" s="125"/>
      <c r="C15" s="65"/>
      <c r="D15" s="65"/>
      <c r="E15" s="65"/>
      <c r="F15" s="65"/>
      <c r="G15" s="22"/>
      <c r="H15" s="65"/>
      <c r="I15" s="65"/>
      <c r="J15" s="65"/>
      <c r="K15" s="65"/>
      <c r="L15" s="65"/>
      <c r="M15" s="65"/>
      <c r="N15" s="65"/>
      <c r="O15" s="65"/>
      <c r="P15" s="55"/>
    </row>
    <row r="16" spans="1:16" ht="12.75" customHeight="1">
      <c r="A16" s="15"/>
      <c r="B16" s="125"/>
      <c r="C16" s="65"/>
      <c r="D16" s="65"/>
      <c r="E16" s="65"/>
      <c r="F16" s="65"/>
      <c r="G16" s="22"/>
      <c r="H16" s="65"/>
      <c r="I16" s="65"/>
      <c r="J16" s="65"/>
      <c r="K16" s="65"/>
      <c r="L16" s="65"/>
      <c r="M16" s="65"/>
      <c r="N16" s="65"/>
      <c r="O16" s="65"/>
      <c r="P16" s="55"/>
    </row>
    <row r="17" spans="1:16" ht="12.75" customHeight="1">
      <c r="A17" s="26"/>
      <c r="B17" s="131">
        <f>SUM(B14:B16)</f>
        <v>0</v>
      </c>
      <c r="C17" s="124" t="e">
        <f>SUM((O17/B17))</f>
        <v>#DIV/0!</v>
      </c>
      <c r="D17" s="124" t="e">
        <f>SUM((P17/B17))</f>
        <v>#DIV/0!</v>
      </c>
      <c r="E17" s="124"/>
      <c r="F17" s="124">
        <f t="shared" ref="F17:O17" si="9">SUM(F14:F16)</f>
        <v>0</v>
      </c>
      <c r="G17" s="124">
        <f t="shared" si="9"/>
        <v>0</v>
      </c>
      <c r="H17" s="124">
        <f t="shared" si="9"/>
        <v>0</v>
      </c>
      <c r="I17" s="124">
        <f t="shared" si="9"/>
        <v>0</v>
      </c>
      <c r="J17" s="124">
        <f t="shared" si="9"/>
        <v>0</v>
      </c>
      <c r="K17" s="124">
        <f t="shared" si="9"/>
        <v>0</v>
      </c>
      <c r="L17" s="124">
        <f t="shared" si="9"/>
        <v>0</v>
      </c>
      <c r="M17" s="124">
        <f t="shared" si="9"/>
        <v>0</v>
      </c>
      <c r="N17" s="124">
        <f t="shared" si="9"/>
        <v>0</v>
      </c>
      <c r="O17" s="124">
        <f t="shared" si="9"/>
        <v>0</v>
      </c>
      <c r="P17" s="124"/>
    </row>
    <row r="18" spans="1:16" ht="12.75" customHeight="1">
      <c r="A18" s="15"/>
      <c r="B18" s="125"/>
      <c r="C18" s="65"/>
      <c r="D18" s="65"/>
      <c r="E18" s="65"/>
      <c r="F18" s="65"/>
      <c r="G18" s="22"/>
      <c r="H18" s="65"/>
      <c r="I18" s="65"/>
      <c r="J18" s="65"/>
      <c r="K18" s="65"/>
      <c r="L18" s="65"/>
      <c r="M18" s="65"/>
      <c r="N18" s="65"/>
      <c r="O18" s="65"/>
      <c r="P18" s="55"/>
    </row>
  </sheetData>
  <conditionalFormatting sqref="B2:P18">
    <cfRule type="cellIs" dxfId="4" priority="1" stopIfTrue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2"/>
  <dimension ref="A1:P16"/>
  <sheetViews>
    <sheetView workbookViewId="0">
      <pane ySplit="2" topLeftCell="A3" activePane="bottomLeft" state="frozen"/>
      <selection pane="bottomLeft" activeCell="B4" sqref="B4"/>
    </sheetView>
  </sheetViews>
  <sheetFormatPr defaultColWidth="17.28515625" defaultRowHeight="15.75" customHeight="1"/>
  <cols>
    <col min="1" max="1" width="12.5703125" customWidth="1"/>
    <col min="2" max="2" width="10.5703125" customWidth="1"/>
    <col min="3" max="3" width="11" customWidth="1"/>
    <col min="4" max="4" width="9.42578125" customWidth="1"/>
    <col min="5" max="6" width="11" customWidth="1"/>
    <col min="7" max="7" width="12.85546875" customWidth="1"/>
    <col min="8" max="8" width="11.85546875" customWidth="1"/>
    <col min="9" max="9" width="13.140625" customWidth="1"/>
    <col min="10" max="10" width="12" customWidth="1"/>
    <col min="11" max="11" width="12.42578125" customWidth="1"/>
    <col min="12" max="12" width="11.85546875" customWidth="1"/>
    <col min="13" max="13" width="13.140625" customWidth="1"/>
    <col min="14" max="14" width="12.140625" customWidth="1"/>
    <col min="15" max="15" width="13.28515625" customWidth="1"/>
    <col min="16" max="16" width="15.140625" customWidth="1"/>
  </cols>
  <sheetData>
    <row r="1" spans="1:16" ht="12.75" customHeight="1">
      <c r="A1" s="75" t="s">
        <v>68</v>
      </c>
      <c r="B1" s="3" t="s">
        <v>1</v>
      </c>
      <c r="C1" s="3" t="s">
        <v>62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44</v>
      </c>
      <c r="M1" s="3" t="s">
        <v>12</v>
      </c>
      <c r="N1" s="3" t="s">
        <v>13</v>
      </c>
      <c r="O1" s="3" t="s">
        <v>15</v>
      </c>
      <c r="P1" s="3"/>
    </row>
    <row r="2" spans="1:16" ht="12.75" customHeight="1">
      <c r="A2" s="6" t="str">
        <f ca="1">IFERROR(__xludf.DUMMYFUNCTION("GOOGLEFINANCE(A1)"),"R$ 6.91")</f>
        <v>R$ 6.91</v>
      </c>
      <c r="B2" s="122" t="e">
        <f ca="1">B4+B7+B11+B15</f>
        <v>#VALUE!</v>
      </c>
      <c r="C2" s="123" t="e">
        <f ca="1">O2/B2</f>
        <v>#VALUE!</v>
      </c>
      <c r="D2" s="123" t="e">
        <f ca="1">O2/B2</f>
        <v>#VALUE!</v>
      </c>
      <c r="E2" s="123"/>
      <c r="F2" s="123">
        <f t="shared" ref="F2:O2" si="0">F4+F7+F11+F15</f>
        <v>55</v>
      </c>
      <c r="G2" s="123">
        <f t="shared" si="0"/>
        <v>0.43499670000000001</v>
      </c>
      <c r="H2" s="123">
        <f t="shared" si="0"/>
        <v>0</v>
      </c>
      <c r="I2" s="123">
        <f t="shared" si="0"/>
        <v>0</v>
      </c>
      <c r="J2" s="123">
        <f t="shared" si="0"/>
        <v>0</v>
      </c>
      <c r="K2" s="123">
        <f t="shared" si="0"/>
        <v>0</v>
      </c>
      <c r="L2" s="123">
        <f t="shared" si="0"/>
        <v>0</v>
      </c>
      <c r="M2" s="123">
        <f t="shared" si="0"/>
        <v>0</v>
      </c>
      <c r="N2" s="123">
        <f t="shared" si="0"/>
        <v>0</v>
      </c>
      <c r="O2" s="123">
        <f t="shared" si="0"/>
        <v>1296.2949967000002</v>
      </c>
      <c r="P2" s="123"/>
    </row>
    <row r="3" spans="1:16" ht="12.75" customHeight="1">
      <c r="A3" s="15">
        <f ca="1">NOW()</f>
        <v>45511.687532986114</v>
      </c>
      <c r="B3" s="60" t="e">
        <f ca="1">O3/C3</f>
        <v>#VALUE!</v>
      </c>
      <c r="C3" s="60" t="str">
        <f ca="1">A2</f>
        <v>R$ 6.91</v>
      </c>
      <c r="D3" s="65"/>
      <c r="E3" s="65"/>
      <c r="F3" s="65">
        <v>20</v>
      </c>
      <c r="G3" s="22">
        <f>O3*0.000345</f>
        <v>0</v>
      </c>
      <c r="H3" s="65"/>
      <c r="I3" s="65"/>
      <c r="J3" s="65"/>
      <c r="K3" s="65"/>
      <c r="L3" s="65"/>
      <c r="M3" s="65"/>
      <c r="N3" s="65"/>
      <c r="O3" s="65">
        <f>P!Q12</f>
        <v>0</v>
      </c>
      <c r="P3" s="65"/>
    </row>
    <row r="4" spans="1:16" ht="12.75" customHeight="1">
      <c r="A4" s="26" t="s">
        <v>23</v>
      </c>
      <c r="B4" s="130" t="e">
        <f ca="1">SUM(B3)</f>
        <v>#VALUE!</v>
      </c>
      <c r="C4" s="124"/>
      <c r="D4" s="124"/>
      <c r="E4" s="124"/>
      <c r="F4" s="124">
        <f t="shared" ref="F4:K4" si="1">SUM(F3)</f>
        <v>20</v>
      </c>
      <c r="G4" s="124">
        <f t="shared" si="1"/>
        <v>0</v>
      </c>
      <c r="H4" s="124">
        <f t="shared" si="1"/>
        <v>0</v>
      </c>
      <c r="I4" s="124">
        <f t="shared" si="1"/>
        <v>0</v>
      </c>
      <c r="J4" s="124">
        <f t="shared" si="1"/>
        <v>0</v>
      </c>
      <c r="K4" s="124">
        <f t="shared" si="1"/>
        <v>0</v>
      </c>
      <c r="L4" s="124"/>
      <c r="M4" s="124">
        <f t="shared" ref="M4:O4" si="2">SUM(M3)</f>
        <v>0</v>
      </c>
      <c r="N4" s="124">
        <f t="shared" si="2"/>
        <v>0</v>
      </c>
      <c r="O4" s="124">
        <f t="shared" si="2"/>
        <v>0</v>
      </c>
      <c r="P4" s="124"/>
    </row>
    <row r="5" spans="1:16" ht="12.75" customHeight="1">
      <c r="A5" s="15">
        <v>42065</v>
      </c>
      <c r="B5" s="59">
        <v>1270</v>
      </c>
      <c r="C5" s="65">
        <v>0.31</v>
      </c>
      <c r="D5" s="65">
        <f>O5/B5</f>
        <v>0.32979198937007875</v>
      </c>
      <c r="E5" s="65"/>
      <c r="F5" s="65">
        <v>25</v>
      </c>
      <c r="G5" s="24">
        <f>SUM(B5*C5*0.000345)</f>
        <v>0.13582649999999999</v>
      </c>
      <c r="H5" s="65"/>
      <c r="I5" s="65"/>
      <c r="J5" s="65"/>
      <c r="K5" s="65"/>
      <c r="L5" s="65"/>
      <c r="M5" s="65"/>
      <c r="N5" s="65"/>
      <c r="O5" s="65">
        <f>B5*C5+F5+G5</f>
        <v>418.8358265</v>
      </c>
      <c r="P5" s="55"/>
    </row>
    <row r="6" spans="1:16" ht="12.75" customHeight="1">
      <c r="A6" s="15">
        <v>42351</v>
      </c>
      <c r="B6" s="59">
        <v>-1143</v>
      </c>
      <c r="C6" s="65"/>
      <c r="D6" s="65"/>
      <c r="E6" s="65"/>
      <c r="F6" s="65"/>
      <c r="G6" s="22">
        <f>O6*0.000345</f>
        <v>0</v>
      </c>
      <c r="H6" s="65"/>
      <c r="I6" s="65"/>
      <c r="J6" s="65"/>
      <c r="K6" s="65"/>
      <c r="L6" s="65"/>
      <c r="M6" s="65"/>
      <c r="N6" s="65"/>
      <c r="O6" s="65">
        <f>B6*C6</f>
        <v>0</v>
      </c>
      <c r="P6" s="55" t="s">
        <v>79</v>
      </c>
    </row>
    <row r="7" spans="1:16" ht="12.75" customHeight="1">
      <c r="A7" s="26">
        <v>2015</v>
      </c>
      <c r="B7" s="130">
        <f>SUM(B5:B6)</f>
        <v>127</v>
      </c>
      <c r="C7" s="124"/>
      <c r="D7" s="124"/>
      <c r="E7" s="124"/>
      <c r="F7" s="124">
        <f t="shared" ref="F7:O7" si="3">SUM(F5:F6)</f>
        <v>25</v>
      </c>
      <c r="G7" s="124">
        <f t="shared" si="3"/>
        <v>0.13582649999999999</v>
      </c>
      <c r="H7" s="124">
        <f t="shared" si="3"/>
        <v>0</v>
      </c>
      <c r="I7" s="124">
        <f t="shared" si="3"/>
        <v>0</v>
      </c>
      <c r="J7" s="124">
        <f t="shared" si="3"/>
        <v>0</v>
      </c>
      <c r="K7" s="124">
        <f t="shared" si="3"/>
        <v>0</v>
      </c>
      <c r="L7" s="124">
        <f t="shared" si="3"/>
        <v>0</v>
      </c>
      <c r="M7" s="124">
        <f t="shared" si="3"/>
        <v>0</v>
      </c>
      <c r="N7" s="124">
        <f t="shared" si="3"/>
        <v>0</v>
      </c>
      <c r="O7" s="124">
        <f t="shared" si="3"/>
        <v>418.8358265</v>
      </c>
      <c r="P7" s="124"/>
    </row>
    <row r="8" spans="1:16" ht="12.75" customHeight="1">
      <c r="A8" s="15">
        <v>42461</v>
      </c>
      <c r="B8" s="125">
        <v>163</v>
      </c>
      <c r="C8" s="65">
        <v>5.32</v>
      </c>
      <c r="D8" s="65"/>
      <c r="E8" s="65"/>
      <c r="F8" s="65">
        <v>10</v>
      </c>
      <c r="G8" s="24">
        <f>SUM(B8*C8*0.000345)</f>
        <v>0.2991702</v>
      </c>
      <c r="H8" s="65"/>
      <c r="I8" s="65"/>
      <c r="J8" s="65"/>
      <c r="K8" s="65"/>
      <c r="L8" s="65"/>
      <c r="M8" s="65"/>
      <c r="N8" s="65"/>
      <c r="O8" s="65">
        <f>B8*C8+F8+G8</f>
        <v>877.45917020000013</v>
      </c>
      <c r="P8" s="55"/>
    </row>
    <row r="9" spans="1:16" ht="12.75" customHeight="1">
      <c r="A9" s="15"/>
      <c r="B9" s="125"/>
      <c r="C9" s="65"/>
      <c r="D9" s="65"/>
      <c r="E9" s="65"/>
      <c r="F9" s="65"/>
      <c r="G9" s="22"/>
      <c r="H9" s="65"/>
      <c r="I9" s="65"/>
      <c r="J9" s="65"/>
      <c r="K9" s="65"/>
      <c r="L9" s="65"/>
      <c r="M9" s="65"/>
      <c r="N9" s="65"/>
      <c r="O9" s="65"/>
      <c r="P9" s="55"/>
    </row>
    <row r="10" spans="1:16" ht="12.75" customHeight="1">
      <c r="A10" s="15"/>
      <c r="B10" s="125"/>
      <c r="C10" s="65"/>
      <c r="D10" s="65"/>
      <c r="E10" s="65"/>
      <c r="F10" s="65"/>
      <c r="G10" s="22"/>
      <c r="H10" s="65"/>
      <c r="I10" s="65"/>
      <c r="J10" s="65"/>
      <c r="K10" s="65"/>
      <c r="L10" s="65"/>
      <c r="M10" s="65"/>
      <c r="N10" s="65"/>
      <c r="O10" s="65"/>
      <c r="P10" s="55"/>
    </row>
    <row r="11" spans="1:16" ht="12.75" customHeight="1">
      <c r="A11" s="26">
        <v>2016</v>
      </c>
      <c r="B11" s="130">
        <f>SUM(B8:B10)</f>
        <v>163</v>
      </c>
      <c r="C11" s="124"/>
      <c r="D11" s="124"/>
      <c r="E11" s="124"/>
      <c r="F11" s="124">
        <f t="shared" ref="F11:O11" si="4">SUM(F8:F10)</f>
        <v>10</v>
      </c>
      <c r="G11" s="124">
        <f t="shared" si="4"/>
        <v>0.2991702</v>
      </c>
      <c r="H11" s="124">
        <f t="shared" si="4"/>
        <v>0</v>
      </c>
      <c r="I11" s="124">
        <f t="shared" si="4"/>
        <v>0</v>
      </c>
      <c r="J11" s="124">
        <f t="shared" si="4"/>
        <v>0</v>
      </c>
      <c r="K11" s="124">
        <f t="shared" si="4"/>
        <v>0</v>
      </c>
      <c r="L11" s="124">
        <f t="shared" si="4"/>
        <v>0</v>
      </c>
      <c r="M11" s="124">
        <f t="shared" si="4"/>
        <v>0</v>
      </c>
      <c r="N11" s="124">
        <f t="shared" si="4"/>
        <v>0</v>
      </c>
      <c r="O11" s="124">
        <f t="shared" si="4"/>
        <v>877.45917020000013</v>
      </c>
      <c r="P11" s="124"/>
    </row>
    <row r="12" spans="1:16" ht="12.75" customHeight="1">
      <c r="A12" s="15"/>
      <c r="B12" s="125"/>
      <c r="C12" s="65"/>
      <c r="D12" s="65"/>
      <c r="E12" s="65"/>
      <c r="F12" s="65"/>
      <c r="G12" s="22"/>
      <c r="H12" s="65"/>
      <c r="I12" s="65"/>
      <c r="J12" s="65"/>
      <c r="K12" s="65"/>
      <c r="L12" s="65"/>
      <c r="M12" s="65"/>
      <c r="N12" s="65"/>
      <c r="O12" s="65"/>
      <c r="P12" s="55"/>
    </row>
    <row r="13" spans="1:16" ht="12.75" customHeight="1">
      <c r="A13" s="15"/>
      <c r="B13" s="125"/>
      <c r="C13" s="65"/>
      <c r="D13" s="65"/>
      <c r="E13" s="65"/>
      <c r="F13" s="65"/>
      <c r="G13" s="22"/>
      <c r="H13" s="65"/>
      <c r="I13" s="65"/>
      <c r="J13" s="65"/>
      <c r="K13" s="65"/>
      <c r="L13" s="65"/>
      <c r="M13" s="65"/>
      <c r="N13" s="65"/>
      <c r="O13" s="65"/>
      <c r="P13" s="55"/>
    </row>
    <row r="14" spans="1:16" ht="12.75" customHeight="1">
      <c r="A14" s="15"/>
      <c r="B14" s="125"/>
      <c r="C14" s="65"/>
      <c r="D14" s="65"/>
      <c r="E14" s="65"/>
      <c r="F14" s="65"/>
      <c r="G14" s="22"/>
      <c r="H14" s="65"/>
      <c r="I14" s="65"/>
      <c r="J14" s="65"/>
      <c r="K14" s="65"/>
      <c r="L14" s="65"/>
      <c r="M14" s="65"/>
      <c r="N14" s="65"/>
      <c r="O14" s="65"/>
      <c r="P14" s="55"/>
    </row>
    <row r="15" spans="1:16" ht="12.75" customHeight="1">
      <c r="A15" s="26"/>
      <c r="B15" s="130">
        <f>SUM(B12:B14)</f>
        <v>0</v>
      </c>
      <c r="C15" s="124"/>
      <c r="D15" s="124"/>
      <c r="E15" s="124"/>
      <c r="F15" s="124">
        <f t="shared" ref="F15:O15" si="5">SUM(F12:F14)</f>
        <v>0</v>
      </c>
      <c r="G15" s="124">
        <f t="shared" si="5"/>
        <v>0</v>
      </c>
      <c r="H15" s="124">
        <f t="shared" si="5"/>
        <v>0</v>
      </c>
      <c r="I15" s="124">
        <f t="shared" si="5"/>
        <v>0</v>
      </c>
      <c r="J15" s="124">
        <f t="shared" si="5"/>
        <v>0</v>
      </c>
      <c r="K15" s="124">
        <f t="shared" si="5"/>
        <v>0</v>
      </c>
      <c r="L15" s="124">
        <f t="shared" si="5"/>
        <v>0</v>
      </c>
      <c r="M15" s="124">
        <f t="shared" si="5"/>
        <v>0</v>
      </c>
      <c r="N15" s="124">
        <f t="shared" si="5"/>
        <v>0</v>
      </c>
      <c r="O15" s="124">
        <f t="shared" si="5"/>
        <v>0</v>
      </c>
      <c r="P15" s="124"/>
    </row>
    <row r="16" spans="1:16" ht="12.75" customHeight="1">
      <c r="A16" s="15"/>
      <c r="B16" s="125"/>
      <c r="C16" s="65"/>
      <c r="D16" s="65"/>
      <c r="E16" s="65"/>
      <c r="F16" s="65"/>
      <c r="G16" s="22"/>
      <c r="H16" s="65"/>
      <c r="I16" s="65"/>
      <c r="J16" s="65"/>
      <c r="K16" s="65"/>
      <c r="L16" s="65"/>
      <c r="M16" s="65"/>
      <c r="N16" s="65"/>
      <c r="O16" s="65"/>
      <c r="P16" s="55"/>
    </row>
  </sheetData>
  <conditionalFormatting sqref="B2:P16">
    <cfRule type="cellIs" dxfId="3" priority="1" stopIfTrue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3"/>
  <dimension ref="A1:P22"/>
  <sheetViews>
    <sheetView workbookViewId="0">
      <pane ySplit="2" topLeftCell="A3" activePane="bottomLeft" state="frozen"/>
      <selection pane="bottomLeft" activeCell="B4" sqref="B4"/>
    </sheetView>
  </sheetViews>
  <sheetFormatPr defaultColWidth="17.28515625" defaultRowHeight="15.75" customHeight="1"/>
  <cols>
    <col min="1" max="1" width="12.5703125" customWidth="1"/>
    <col min="2" max="2" width="10.5703125" customWidth="1"/>
    <col min="3" max="3" width="11" customWidth="1"/>
    <col min="4" max="4" width="9.42578125" customWidth="1"/>
    <col min="5" max="6" width="11" customWidth="1"/>
    <col min="7" max="7" width="12.85546875" customWidth="1"/>
    <col min="8" max="8" width="11.85546875" customWidth="1"/>
    <col min="9" max="9" width="13.140625" customWidth="1"/>
    <col min="10" max="10" width="12" customWidth="1"/>
    <col min="11" max="11" width="12.42578125" customWidth="1"/>
    <col min="12" max="12" width="11.85546875" customWidth="1"/>
    <col min="13" max="13" width="13.140625" customWidth="1"/>
    <col min="14" max="14" width="12.140625" customWidth="1"/>
    <col min="15" max="15" width="13.28515625" customWidth="1"/>
    <col min="16" max="16" width="12.5703125" customWidth="1"/>
  </cols>
  <sheetData>
    <row r="1" spans="1:16" ht="12.75" customHeight="1">
      <c r="A1" s="75" t="s">
        <v>43</v>
      </c>
      <c r="B1" s="3" t="s">
        <v>1</v>
      </c>
      <c r="C1" s="3" t="s">
        <v>62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44</v>
      </c>
      <c r="M1" s="3" t="s">
        <v>12</v>
      </c>
      <c r="N1" s="3" t="s">
        <v>13</v>
      </c>
      <c r="O1" s="3" t="s">
        <v>15</v>
      </c>
      <c r="P1" s="3"/>
    </row>
    <row r="2" spans="1:16" ht="12.75" customHeight="1">
      <c r="A2" s="6" t="str">
        <f ca="1">IFERROR(__xludf.DUMMYFUNCTION("GOOGLEFINANCE(A1)"),"R$ 30.60")</f>
        <v>R$ 30.60</v>
      </c>
      <c r="B2" s="136" t="e">
        <f ca="1">B4+B9+B17+B21</f>
        <v>#VALUE!</v>
      </c>
      <c r="C2" s="39" t="e">
        <f ca="1">O2/B2</f>
        <v>#VALUE!</v>
      </c>
      <c r="D2" s="39" t="e">
        <f ca="1">O2/B2</f>
        <v>#VALUE!</v>
      </c>
      <c r="E2" s="39"/>
      <c r="F2" s="39">
        <f t="shared" ref="F2:O2" si="0">F4+F9+F17+F21</f>
        <v>40</v>
      </c>
      <c r="G2" s="39">
        <f t="shared" si="0"/>
        <v>2.2395882</v>
      </c>
      <c r="H2" s="39">
        <f t="shared" si="0"/>
        <v>42.159400000000005</v>
      </c>
      <c r="I2" s="39">
        <f t="shared" si="0"/>
        <v>0</v>
      </c>
      <c r="J2" s="39">
        <f t="shared" si="0"/>
        <v>0</v>
      </c>
      <c r="K2" s="39">
        <f t="shared" si="0"/>
        <v>0</v>
      </c>
      <c r="L2" s="39">
        <f t="shared" si="0"/>
        <v>0</v>
      </c>
      <c r="M2" s="39">
        <f t="shared" si="0"/>
        <v>0</v>
      </c>
      <c r="N2" s="39">
        <f t="shared" si="0"/>
        <v>0</v>
      </c>
      <c r="O2" s="39">
        <f t="shared" si="0"/>
        <v>6528.7995882000005</v>
      </c>
      <c r="P2" s="39"/>
    </row>
    <row r="3" spans="1:16" ht="12.75" customHeight="1">
      <c r="A3" s="15">
        <f ca="1">NOW()</f>
        <v>45511.687532986114</v>
      </c>
      <c r="B3" s="60" t="e">
        <f ca="1">O3/C3</f>
        <v>#VALUE!</v>
      </c>
      <c r="C3" s="60" t="str">
        <f ca="1">A2</f>
        <v>R$ 30.60</v>
      </c>
      <c r="D3" s="38"/>
      <c r="E3" s="38"/>
      <c r="F3" s="38">
        <v>5</v>
      </c>
      <c r="G3" s="22">
        <f>O3*0.000345</f>
        <v>0</v>
      </c>
      <c r="H3" s="38"/>
      <c r="I3" s="38"/>
      <c r="J3" s="38"/>
      <c r="K3" s="38"/>
      <c r="L3" s="38"/>
      <c r="M3" s="38"/>
      <c r="N3" s="38"/>
      <c r="O3" s="38">
        <f>P!Q13</f>
        <v>0</v>
      </c>
      <c r="P3" s="38"/>
    </row>
    <row r="4" spans="1:16" ht="12.75" customHeight="1">
      <c r="A4" s="26" t="s">
        <v>23</v>
      </c>
      <c r="B4" s="141" t="e">
        <f ca="1">SUM(B3)</f>
        <v>#VALUE!</v>
      </c>
      <c r="C4" s="30"/>
      <c r="D4" s="30"/>
      <c r="E4" s="30"/>
      <c r="F4" s="30">
        <f t="shared" ref="F4:K4" si="1">SUM(F3)</f>
        <v>5</v>
      </c>
      <c r="G4" s="30">
        <f t="shared" si="1"/>
        <v>0</v>
      </c>
      <c r="H4" s="30">
        <f t="shared" si="1"/>
        <v>0</v>
      </c>
      <c r="I4" s="30">
        <f t="shared" si="1"/>
        <v>0</v>
      </c>
      <c r="J4" s="30">
        <f t="shared" si="1"/>
        <v>0</v>
      </c>
      <c r="K4" s="30">
        <f t="shared" si="1"/>
        <v>0</v>
      </c>
      <c r="L4" s="30"/>
      <c r="M4" s="30">
        <f t="shared" ref="M4:O4" si="2">SUM(M3)</f>
        <v>0</v>
      </c>
      <c r="N4" s="30">
        <f t="shared" si="2"/>
        <v>0</v>
      </c>
      <c r="O4" s="30">
        <f t="shared" si="2"/>
        <v>0</v>
      </c>
      <c r="P4" s="30"/>
    </row>
    <row r="5" spans="1:16" ht="12.75" customHeight="1">
      <c r="A5" s="15">
        <v>42065</v>
      </c>
      <c r="B5" s="53">
        <v>37</v>
      </c>
      <c r="C5" s="38">
        <v>31.25</v>
      </c>
      <c r="D5" s="38">
        <f>O5/B5</f>
        <v>31.395916385135134</v>
      </c>
      <c r="E5" s="38"/>
      <c r="F5" s="38">
        <v>5</v>
      </c>
      <c r="G5" s="24">
        <f t="shared" ref="G5:G8" si="3">SUM(B5*C5*0.000345)</f>
        <v>0.39890624999999996</v>
      </c>
      <c r="H5" s="38"/>
      <c r="I5" s="38"/>
      <c r="J5" s="38"/>
      <c r="K5" s="38"/>
      <c r="L5" s="38"/>
      <c r="M5" s="38"/>
      <c r="N5" s="38"/>
      <c r="O5" s="38">
        <f t="shared" ref="O5:O8" si="4">B5*C5+F5+G5</f>
        <v>1161.64890625</v>
      </c>
      <c r="P5" s="38"/>
    </row>
    <row r="6" spans="1:16" ht="12.75" customHeight="1">
      <c r="A6" s="15">
        <v>42104</v>
      </c>
      <c r="B6" s="53"/>
      <c r="C6" s="38"/>
      <c r="D6" s="38"/>
      <c r="E6" s="38"/>
      <c r="F6" s="38"/>
      <c r="G6" s="24">
        <f t="shared" si="3"/>
        <v>0</v>
      </c>
      <c r="H6" s="22">
        <f>37*0.6362</f>
        <v>23.539400000000001</v>
      </c>
      <c r="I6" s="38"/>
      <c r="J6" s="38"/>
      <c r="K6" s="38"/>
      <c r="L6" s="38"/>
      <c r="M6" s="38"/>
      <c r="N6" s="38"/>
      <c r="O6" s="38">
        <f t="shared" si="4"/>
        <v>0</v>
      </c>
      <c r="P6" s="55"/>
    </row>
    <row r="7" spans="1:16" ht="12.75" customHeight="1">
      <c r="A7" s="15">
        <v>42156</v>
      </c>
      <c r="B7" s="53">
        <v>26</v>
      </c>
      <c r="C7" s="38">
        <v>35.5</v>
      </c>
      <c r="D7" s="38">
        <f t="shared" ref="D7:D10" si="5">O7/B7</f>
        <v>35.704555192307694</v>
      </c>
      <c r="E7" s="38"/>
      <c r="F7" s="38">
        <v>5</v>
      </c>
      <c r="G7" s="24">
        <f t="shared" si="3"/>
        <v>0.31843499999999997</v>
      </c>
      <c r="H7" s="38"/>
      <c r="I7" s="38"/>
      <c r="J7" s="38"/>
      <c r="K7" s="38"/>
      <c r="L7" s="38"/>
      <c r="M7" s="38"/>
      <c r="N7" s="38"/>
      <c r="O7" s="38">
        <f t="shared" si="4"/>
        <v>928.31843500000002</v>
      </c>
      <c r="P7" s="55"/>
    </row>
    <row r="8" spans="1:16" ht="12.75" customHeight="1">
      <c r="A8" s="15">
        <v>42278</v>
      </c>
      <c r="B8" s="53">
        <v>26</v>
      </c>
      <c r="C8" s="38">
        <v>30.1</v>
      </c>
      <c r="D8" s="38">
        <f t="shared" si="5"/>
        <v>30.302692192307692</v>
      </c>
      <c r="E8" s="38"/>
      <c r="F8" s="38">
        <v>5</v>
      </c>
      <c r="G8" s="24">
        <f t="shared" si="3"/>
        <v>0.26999699999999999</v>
      </c>
      <c r="H8" s="38"/>
      <c r="I8" s="38"/>
      <c r="J8" s="38"/>
      <c r="K8" s="38"/>
      <c r="L8" s="38"/>
      <c r="M8" s="38"/>
      <c r="N8" s="38"/>
      <c r="O8" s="38">
        <f t="shared" si="4"/>
        <v>787.86999700000001</v>
      </c>
      <c r="P8" s="55"/>
    </row>
    <row r="9" spans="1:16" ht="12.75" customHeight="1">
      <c r="A9" s="26">
        <v>2015</v>
      </c>
      <c r="B9" s="144">
        <f>SUM(B5:B8)</f>
        <v>89</v>
      </c>
      <c r="C9" s="30">
        <f>SUM((O9/B9))</f>
        <v>32.335250991573041</v>
      </c>
      <c r="D9" s="30">
        <f t="shared" si="5"/>
        <v>32.335250991573041</v>
      </c>
      <c r="E9" s="30"/>
      <c r="F9" s="30">
        <f t="shared" ref="F9:O9" si="6">SUM(F5:F8)</f>
        <v>15</v>
      </c>
      <c r="G9" s="30">
        <f t="shared" si="6"/>
        <v>0.98733824999999986</v>
      </c>
      <c r="H9" s="30">
        <f t="shared" si="6"/>
        <v>23.539400000000001</v>
      </c>
      <c r="I9" s="30">
        <f t="shared" si="6"/>
        <v>0</v>
      </c>
      <c r="J9" s="30">
        <f t="shared" si="6"/>
        <v>0</v>
      </c>
      <c r="K9" s="30">
        <f t="shared" si="6"/>
        <v>0</v>
      </c>
      <c r="L9" s="30">
        <f t="shared" si="6"/>
        <v>0</v>
      </c>
      <c r="M9" s="30">
        <f t="shared" si="6"/>
        <v>0</v>
      </c>
      <c r="N9" s="30">
        <f t="shared" si="6"/>
        <v>0</v>
      </c>
      <c r="O9" s="30">
        <f t="shared" si="6"/>
        <v>2877.8373382500004</v>
      </c>
      <c r="P9" s="30"/>
    </row>
    <row r="10" spans="1:16" ht="12.75" customHeight="1">
      <c r="A10" s="15">
        <v>42430</v>
      </c>
      <c r="B10" s="53">
        <v>44</v>
      </c>
      <c r="C10" s="38">
        <v>23.63</v>
      </c>
      <c r="D10" s="38">
        <f t="shared" si="5"/>
        <v>23.751788713636362</v>
      </c>
      <c r="E10" s="38"/>
      <c r="F10" s="38">
        <v>5</v>
      </c>
      <c r="G10" s="24">
        <f t="shared" ref="G10:G15" si="7">SUM(B10*C10*0.000345)</f>
        <v>0.35870340000000001</v>
      </c>
      <c r="H10" s="38"/>
      <c r="I10" s="38"/>
      <c r="J10" s="38"/>
      <c r="K10" s="38"/>
      <c r="L10" s="38"/>
      <c r="M10" s="38"/>
      <c r="N10" s="38"/>
      <c r="O10" s="38">
        <f t="shared" ref="O10:O15" si="8">SUM(B10*C10+F10+G10)</f>
        <v>1045.0787034</v>
      </c>
      <c r="P10" s="55"/>
    </row>
    <row r="11" spans="1:16" ht="12.75" customHeight="1">
      <c r="A11" s="15">
        <v>42468</v>
      </c>
      <c r="B11" s="53"/>
      <c r="C11" s="38"/>
      <c r="D11" s="38"/>
      <c r="E11" s="38"/>
      <c r="F11" s="38"/>
      <c r="G11" s="24">
        <f t="shared" si="7"/>
        <v>0</v>
      </c>
      <c r="H11" s="38">
        <f>133*0.14</f>
        <v>18.62</v>
      </c>
      <c r="I11" s="38"/>
      <c r="J11" s="38"/>
      <c r="K11" s="38"/>
      <c r="L11" s="38"/>
      <c r="M11" s="38"/>
      <c r="N11" s="38"/>
      <c r="O11" s="38">
        <f t="shared" si="8"/>
        <v>0</v>
      </c>
      <c r="P11" s="55"/>
    </row>
    <row r="12" spans="1:16" ht="12.75" customHeight="1">
      <c r="A12" s="15">
        <v>42522</v>
      </c>
      <c r="B12" s="53">
        <v>33</v>
      </c>
      <c r="C12" s="38">
        <v>25.83</v>
      </c>
      <c r="D12" s="38">
        <f t="shared" ref="D12:D14" si="9">O12/B12</f>
        <v>25.990426501515152</v>
      </c>
      <c r="E12" s="38"/>
      <c r="F12" s="38">
        <v>5</v>
      </c>
      <c r="G12" s="24">
        <f t="shared" si="7"/>
        <v>0.29407454999999999</v>
      </c>
      <c r="H12" s="38"/>
      <c r="I12" s="38"/>
      <c r="J12" s="38"/>
      <c r="K12" s="38"/>
      <c r="L12" s="38"/>
      <c r="M12" s="38"/>
      <c r="N12" s="38"/>
      <c r="O12" s="38">
        <f t="shared" si="8"/>
        <v>857.68407454999999</v>
      </c>
      <c r="P12" s="55"/>
    </row>
    <row r="13" spans="1:16" ht="12.75" customHeight="1">
      <c r="A13" s="15">
        <v>42552</v>
      </c>
      <c r="B13" s="53">
        <v>32</v>
      </c>
      <c r="C13" s="38">
        <v>26.75</v>
      </c>
      <c r="D13" s="38">
        <f t="shared" si="9"/>
        <v>26.915478749999998</v>
      </c>
      <c r="E13" s="38"/>
      <c r="F13" s="38">
        <v>5</v>
      </c>
      <c r="G13" s="24">
        <f t="shared" si="7"/>
        <v>0.29531999999999997</v>
      </c>
      <c r="H13" s="38"/>
      <c r="I13" s="38"/>
      <c r="J13" s="38"/>
      <c r="K13" s="38"/>
      <c r="L13" s="38"/>
      <c r="M13" s="38"/>
      <c r="N13" s="38"/>
      <c r="O13" s="38">
        <f t="shared" si="8"/>
        <v>861.29531999999995</v>
      </c>
      <c r="P13" s="55"/>
    </row>
    <row r="14" spans="1:16" ht="12.75" customHeight="1">
      <c r="A14" s="15">
        <v>42614</v>
      </c>
      <c r="B14" s="53">
        <v>32</v>
      </c>
      <c r="C14" s="38">
        <v>27.55</v>
      </c>
      <c r="D14" s="38">
        <f t="shared" si="9"/>
        <v>27.715754750000002</v>
      </c>
      <c r="E14" s="38"/>
      <c r="F14" s="38">
        <v>5</v>
      </c>
      <c r="G14" s="24">
        <f t="shared" si="7"/>
        <v>0.30415199999999998</v>
      </c>
      <c r="H14" s="38"/>
      <c r="I14" s="38"/>
      <c r="J14" s="38"/>
      <c r="K14" s="38"/>
      <c r="L14" s="38"/>
      <c r="M14" s="38"/>
      <c r="N14" s="38"/>
      <c r="O14" s="38">
        <f t="shared" si="8"/>
        <v>886.90415200000007</v>
      </c>
      <c r="P14" s="55"/>
    </row>
    <row r="15" spans="1:16" ht="12.75" customHeight="1">
      <c r="A15" s="15"/>
      <c r="B15" s="53"/>
      <c r="C15" s="38"/>
      <c r="D15" s="38"/>
      <c r="E15" s="38"/>
      <c r="F15" s="38"/>
      <c r="G15" s="24">
        <f t="shared" si="7"/>
        <v>0</v>
      </c>
      <c r="H15" s="38"/>
      <c r="I15" s="38"/>
      <c r="J15" s="38"/>
      <c r="K15" s="38"/>
      <c r="L15" s="38"/>
      <c r="M15" s="38"/>
      <c r="N15" s="38"/>
      <c r="O15" s="38">
        <f t="shared" si="8"/>
        <v>0</v>
      </c>
      <c r="P15" s="55"/>
    </row>
    <row r="16" spans="1:16" ht="12.75" customHeight="1">
      <c r="A16" s="15"/>
      <c r="B16" s="53"/>
      <c r="C16" s="38"/>
      <c r="D16" s="38"/>
      <c r="E16" s="38"/>
      <c r="F16" s="38"/>
      <c r="G16" s="22"/>
      <c r="H16" s="38"/>
      <c r="I16" s="38"/>
      <c r="J16" s="38"/>
      <c r="K16" s="38"/>
      <c r="L16" s="38"/>
      <c r="M16" s="38"/>
      <c r="N16" s="38"/>
      <c r="O16" s="38">
        <f>SUM(B16*C16)</f>
        <v>0</v>
      </c>
      <c r="P16" s="55"/>
    </row>
    <row r="17" spans="1:16" ht="12.75" customHeight="1">
      <c r="A17" s="26">
        <v>2016</v>
      </c>
      <c r="B17" s="144">
        <f>SUM(B10:B16)</f>
        <v>141</v>
      </c>
      <c r="C17" s="30">
        <f>SUM((O17/B17))</f>
        <v>25.893349290425533</v>
      </c>
      <c r="D17" s="30">
        <f>O17/B17</f>
        <v>25.893349290425533</v>
      </c>
      <c r="E17" s="30"/>
      <c r="F17" s="30">
        <f t="shared" ref="F17:O17" si="10">SUM(F10:F16)</f>
        <v>20</v>
      </c>
      <c r="G17" s="30">
        <f t="shared" si="10"/>
        <v>1.2522499499999999</v>
      </c>
      <c r="H17" s="30">
        <f t="shared" si="10"/>
        <v>18.62</v>
      </c>
      <c r="I17" s="30">
        <f t="shared" si="10"/>
        <v>0</v>
      </c>
      <c r="J17" s="30">
        <f t="shared" si="10"/>
        <v>0</v>
      </c>
      <c r="K17" s="30">
        <f t="shared" si="10"/>
        <v>0</v>
      </c>
      <c r="L17" s="30">
        <f t="shared" si="10"/>
        <v>0</v>
      </c>
      <c r="M17" s="30">
        <f t="shared" si="10"/>
        <v>0</v>
      </c>
      <c r="N17" s="30">
        <f t="shared" si="10"/>
        <v>0</v>
      </c>
      <c r="O17" s="30">
        <f t="shared" si="10"/>
        <v>3650.9622499500001</v>
      </c>
      <c r="P17" s="30"/>
    </row>
    <row r="18" spans="1:16" ht="12.75" customHeight="1">
      <c r="A18" s="15"/>
      <c r="B18" s="53"/>
      <c r="C18" s="38"/>
      <c r="D18" s="38"/>
      <c r="E18" s="38"/>
      <c r="F18" s="38"/>
      <c r="G18" s="22"/>
      <c r="H18" s="38"/>
      <c r="I18" s="38"/>
      <c r="J18" s="38"/>
      <c r="K18" s="38"/>
      <c r="L18" s="38"/>
      <c r="M18" s="38"/>
      <c r="N18" s="38"/>
      <c r="O18" s="38"/>
      <c r="P18" s="55"/>
    </row>
    <row r="19" spans="1:16" ht="12.75" customHeight="1">
      <c r="A19" s="15"/>
      <c r="B19" s="53"/>
      <c r="C19" s="38"/>
      <c r="D19" s="38"/>
      <c r="E19" s="38"/>
      <c r="F19" s="38"/>
      <c r="G19" s="22"/>
      <c r="H19" s="38"/>
      <c r="I19" s="38"/>
      <c r="J19" s="38"/>
      <c r="K19" s="38"/>
      <c r="L19" s="38"/>
      <c r="M19" s="38"/>
      <c r="N19" s="38"/>
      <c r="O19" s="38"/>
      <c r="P19" s="55"/>
    </row>
    <row r="20" spans="1:16" ht="12.75" customHeight="1">
      <c r="A20" s="15"/>
      <c r="B20" s="53"/>
      <c r="C20" s="38"/>
      <c r="D20" s="38"/>
      <c r="E20" s="38"/>
      <c r="F20" s="38"/>
      <c r="G20" s="22"/>
      <c r="H20" s="38"/>
      <c r="I20" s="38"/>
      <c r="J20" s="38"/>
      <c r="K20" s="38"/>
      <c r="L20" s="38"/>
      <c r="M20" s="38"/>
      <c r="N20" s="38"/>
      <c r="O20" s="38"/>
      <c r="P20" s="55"/>
    </row>
    <row r="21" spans="1:16" ht="12.75" customHeight="1">
      <c r="A21" s="26"/>
      <c r="B21" s="144">
        <f>SUM(B18:B20)</f>
        <v>0</v>
      </c>
      <c r="C21" s="30" t="e">
        <f>SUM((O21/B21))</f>
        <v>#DIV/0!</v>
      </c>
      <c r="D21" s="30" t="e">
        <f>SUM((P21/B21))</f>
        <v>#DIV/0!</v>
      </c>
      <c r="E21" s="30"/>
      <c r="F21" s="30">
        <f t="shared" ref="F21:O21" si="11">SUM(F18:F20)</f>
        <v>0</v>
      </c>
      <c r="G21" s="30">
        <f t="shared" si="11"/>
        <v>0</v>
      </c>
      <c r="H21" s="30">
        <f t="shared" si="11"/>
        <v>0</v>
      </c>
      <c r="I21" s="30">
        <f t="shared" si="11"/>
        <v>0</v>
      </c>
      <c r="J21" s="30">
        <f t="shared" si="11"/>
        <v>0</v>
      </c>
      <c r="K21" s="30">
        <f t="shared" si="11"/>
        <v>0</v>
      </c>
      <c r="L21" s="30">
        <f t="shared" si="11"/>
        <v>0</v>
      </c>
      <c r="M21" s="30">
        <f t="shared" si="11"/>
        <v>0</v>
      </c>
      <c r="N21" s="30">
        <f t="shared" si="11"/>
        <v>0</v>
      </c>
      <c r="O21" s="30">
        <f t="shared" si="11"/>
        <v>0</v>
      </c>
      <c r="P21" s="30"/>
    </row>
    <row r="22" spans="1:16" ht="12.75" customHeight="1">
      <c r="A22" s="15"/>
      <c r="B22" s="53"/>
      <c r="C22" s="38"/>
      <c r="D22" s="38"/>
      <c r="E22" s="38"/>
      <c r="F22" s="38"/>
      <c r="G22" s="22"/>
      <c r="H22" s="38"/>
      <c r="I22" s="38"/>
      <c r="J22" s="38"/>
      <c r="K22" s="38"/>
      <c r="L22" s="38"/>
      <c r="M22" s="38"/>
      <c r="N22" s="38"/>
      <c r="O22" s="38"/>
      <c r="P22" s="55"/>
    </row>
  </sheetData>
  <conditionalFormatting sqref="B2:P22">
    <cfRule type="cellIs" dxfId="2" priority="1" stopIfTrue="1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4"/>
  <dimension ref="A1:P19"/>
  <sheetViews>
    <sheetView workbookViewId="0">
      <pane ySplit="2" topLeftCell="A3" activePane="bottomLeft" state="frozen"/>
      <selection pane="bottomLeft" activeCell="B4" sqref="B4"/>
    </sheetView>
  </sheetViews>
  <sheetFormatPr defaultColWidth="17.28515625" defaultRowHeight="15.75" customHeight="1"/>
  <cols>
    <col min="1" max="1" width="12.5703125" customWidth="1"/>
    <col min="2" max="2" width="10.5703125" customWidth="1"/>
    <col min="3" max="3" width="11" customWidth="1"/>
    <col min="4" max="4" width="9.42578125" customWidth="1"/>
    <col min="5" max="6" width="11" customWidth="1"/>
    <col min="7" max="7" width="12.85546875" customWidth="1"/>
    <col min="8" max="8" width="11.85546875" customWidth="1"/>
    <col min="9" max="9" width="13.140625" customWidth="1"/>
    <col min="10" max="10" width="12" customWidth="1"/>
    <col min="11" max="11" width="12.42578125" customWidth="1"/>
    <col min="12" max="12" width="11.85546875" customWidth="1"/>
    <col min="13" max="13" width="13.140625" customWidth="1"/>
    <col min="14" max="14" width="12.140625" customWidth="1"/>
    <col min="15" max="15" width="13.28515625" customWidth="1"/>
    <col min="16" max="16" width="12.5703125" customWidth="1"/>
  </cols>
  <sheetData>
    <row r="1" spans="1:16" ht="12.75" customHeight="1">
      <c r="A1" s="106" t="s">
        <v>81</v>
      </c>
      <c r="B1" s="108" t="s">
        <v>1</v>
      </c>
      <c r="C1" s="108" t="s">
        <v>62</v>
      </c>
      <c r="D1" s="108" t="s">
        <v>4</v>
      </c>
      <c r="E1" s="108" t="s">
        <v>5</v>
      </c>
      <c r="F1" s="108" t="s">
        <v>6</v>
      </c>
      <c r="G1" s="108" t="s">
        <v>7</v>
      </c>
      <c r="H1" s="108" t="s">
        <v>8</v>
      </c>
      <c r="I1" s="108" t="s">
        <v>9</v>
      </c>
      <c r="J1" s="108" t="s">
        <v>10</v>
      </c>
      <c r="K1" s="108" t="s">
        <v>11</v>
      </c>
      <c r="L1" s="108" t="s">
        <v>44</v>
      </c>
      <c r="M1" s="3" t="s">
        <v>12</v>
      </c>
      <c r="N1" s="108" t="s">
        <v>13</v>
      </c>
      <c r="O1" s="108" t="s">
        <v>15</v>
      </c>
      <c r="P1" s="108"/>
    </row>
    <row r="2" spans="1:16" ht="12.75" customHeight="1">
      <c r="A2" s="6" t="str">
        <f ca="1">IFERROR(__xludf.DUMMYFUNCTION("GOOGLEFINANCE(A1)"),"R$ 8.05")</f>
        <v>R$ 8.05</v>
      </c>
      <c r="B2" s="149" t="e">
        <f ca="1">B4+B8+B14+B18</f>
        <v>#VALUE!</v>
      </c>
      <c r="C2" s="123" t="e">
        <f ca="1">O2/B2</f>
        <v>#VALUE!</v>
      </c>
      <c r="D2" s="123" t="e">
        <f ca="1">O2/B2</f>
        <v>#VALUE!</v>
      </c>
      <c r="E2" s="123"/>
      <c r="F2" s="123">
        <f t="shared" ref="F2:O2" si="0">F4+F8+F14+F18</f>
        <v>35</v>
      </c>
      <c r="G2" s="123">
        <f t="shared" si="0"/>
        <v>0.98007945000000007</v>
      </c>
      <c r="H2" s="123">
        <f t="shared" si="0"/>
        <v>13.809380221</v>
      </c>
      <c r="I2" s="123">
        <f t="shared" si="0"/>
        <v>0</v>
      </c>
      <c r="J2" s="123">
        <f t="shared" si="0"/>
        <v>27.881885519999997</v>
      </c>
      <c r="K2" s="123">
        <f t="shared" si="0"/>
        <v>0</v>
      </c>
      <c r="L2" s="123">
        <f t="shared" si="0"/>
        <v>0</v>
      </c>
      <c r="M2" s="123">
        <f t="shared" si="0"/>
        <v>0</v>
      </c>
      <c r="N2" s="123">
        <f t="shared" si="0"/>
        <v>0</v>
      </c>
      <c r="O2" s="123">
        <f t="shared" si="0"/>
        <v>2871.7900794500001</v>
      </c>
      <c r="P2" s="123"/>
    </row>
    <row r="3" spans="1:16" ht="12.75" customHeight="1">
      <c r="A3" s="15">
        <f ca="1">NOW()</f>
        <v>45511.687532986114</v>
      </c>
      <c r="B3" s="60" t="e">
        <f ca="1">O3/C3</f>
        <v>#VALUE!</v>
      </c>
      <c r="C3" s="60" t="str">
        <f ca="1">A2</f>
        <v>R$ 8.05</v>
      </c>
      <c r="D3" s="65"/>
      <c r="E3" s="65"/>
      <c r="F3" s="65">
        <v>5</v>
      </c>
      <c r="G3" s="22">
        <f>O3*0.000345</f>
        <v>0</v>
      </c>
      <c r="H3" s="65"/>
      <c r="I3" s="65"/>
      <c r="J3" s="65"/>
      <c r="K3" s="65"/>
      <c r="L3" s="65"/>
      <c r="M3" s="65"/>
      <c r="N3" s="65"/>
      <c r="O3" s="65">
        <f>P!Q14</f>
        <v>0</v>
      </c>
      <c r="P3" s="65"/>
    </row>
    <row r="4" spans="1:16" ht="12.75" customHeight="1">
      <c r="A4" s="26" t="s">
        <v>23</v>
      </c>
      <c r="B4" s="130" t="e">
        <f ca="1">SUM(B3)</f>
        <v>#VALUE!</v>
      </c>
      <c r="C4" s="124">
        <v>0</v>
      </c>
      <c r="D4" s="124">
        <v>0</v>
      </c>
      <c r="E4" s="124"/>
      <c r="F4" s="124">
        <f t="shared" ref="F4:K4" si="1">SUM(F3)</f>
        <v>5</v>
      </c>
      <c r="G4" s="124">
        <f t="shared" si="1"/>
        <v>0</v>
      </c>
      <c r="H4" s="124">
        <f t="shared" si="1"/>
        <v>0</v>
      </c>
      <c r="I4" s="124">
        <f t="shared" si="1"/>
        <v>0</v>
      </c>
      <c r="J4" s="124">
        <f t="shared" si="1"/>
        <v>0</v>
      </c>
      <c r="K4" s="124">
        <f t="shared" si="1"/>
        <v>0</v>
      </c>
      <c r="L4" s="124"/>
      <c r="M4" s="124">
        <f t="shared" ref="M4:O4" si="2">SUM(M3)</f>
        <v>0</v>
      </c>
      <c r="N4" s="124">
        <f t="shared" si="2"/>
        <v>0</v>
      </c>
      <c r="O4" s="124">
        <f t="shared" si="2"/>
        <v>0</v>
      </c>
      <c r="P4" s="124"/>
    </row>
    <row r="5" spans="1:16" ht="12.75" customHeight="1">
      <c r="A5" s="15">
        <v>42065</v>
      </c>
      <c r="B5" s="125">
        <v>16</v>
      </c>
      <c r="C5" s="65">
        <v>12.02</v>
      </c>
      <c r="D5" s="65"/>
      <c r="E5" s="65"/>
      <c r="F5" s="65">
        <v>5</v>
      </c>
      <c r="G5" s="24">
        <f t="shared" ref="G5:G7" si="3">SUM(B5*C5*0.000345)</f>
        <v>6.635039999999999E-2</v>
      </c>
      <c r="H5" s="65"/>
      <c r="I5" s="65"/>
      <c r="J5" s="65"/>
      <c r="K5" s="65"/>
      <c r="L5" s="65"/>
      <c r="M5" s="65"/>
      <c r="N5" s="65"/>
      <c r="O5" s="65">
        <f t="shared" ref="O5:O7" si="4">B5*C5+F5+G5</f>
        <v>197.3863504</v>
      </c>
      <c r="P5" s="65"/>
    </row>
    <row r="6" spans="1:16" ht="12.75" customHeight="1">
      <c r="A6" s="15">
        <v>42096</v>
      </c>
      <c r="B6" s="125">
        <v>75</v>
      </c>
      <c r="C6" s="65">
        <v>10.45</v>
      </c>
      <c r="D6" s="65"/>
      <c r="E6" s="65"/>
      <c r="F6" s="65">
        <v>5</v>
      </c>
      <c r="G6" s="24">
        <f t="shared" si="3"/>
        <v>0.27039374999999999</v>
      </c>
      <c r="H6" s="65"/>
      <c r="I6" s="65"/>
      <c r="J6" s="65"/>
      <c r="K6" s="65"/>
      <c r="L6" s="65"/>
      <c r="M6" s="65"/>
      <c r="N6" s="65"/>
      <c r="O6" s="65">
        <f t="shared" si="4"/>
        <v>789.02039375000004</v>
      </c>
      <c r="P6" s="65"/>
    </row>
    <row r="7" spans="1:16" ht="12.75" customHeight="1">
      <c r="A7" s="15">
        <v>42171</v>
      </c>
      <c r="B7" s="125"/>
      <c r="C7" s="65"/>
      <c r="D7" s="65"/>
      <c r="E7" s="65"/>
      <c r="F7" s="65"/>
      <c r="G7" s="24">
        <f t="shared" si="3"/>
        <v>0</v>
      </c>
      <c r="H7" s="65">
        <f>91*0.151751431</f>
        <v>13.809380221</v>
      </c>
      <c r="I7" s="65"/>
      <c r="J7" s="65"/>
      <c r="K7" s="65"/>
      <c r="L7" s="65"/>
      <c r="M7" s="65"/>
      <c r="N7" s="65"/>
      <c r="O7" s="65">
        <f t="shared" si="4"/>
        <v>0</v>
      </c>
      <c r="P7" s="65"/>
    </row>
    <row r="8" spans="1:16" ht="12.75" customHeight="1">
      <c r="A8" s="26">
        <v>2015</v>
      </c>
      <c r="B8" s="126">
        <f>SUM(B5:B7)</f>
        <v>91</v>
      </c>
      <c r="C8" s="124">
        <f>SUM((O8/B8))</f>
        <v>10.839634551098902</v>
      </c>
      <c r="D8" s="124">
        <f>SUM((P8/B8))</f>
        <v>0</v>
      </c>
      <c r="E8" s="124"/>
      <c r="F8" s="124">
        <f t="shared" ref="F8:O8" si="5">SUM(F5:F7)</f>
        <v>10</v>
      </c>
      <c r="G8" s="124">
        <f t="shared" si="5"/>
        <v>0.33674414999999996</v>
      </c>
      <c r="H8" s="124">
        <f t="shared" si="5"/>
        <v>13.809380221</v>
      </c>
      <c r="I8" s="124">
        <f t="shared" si="5"/>
        <v>0</v>
      </c>
      <c r="J8" s="124">
        <f t="shared" si="5"/>
        <v>0</v>
      </c>
      <c r="K8" s="124">
        <f t="shared" si="5"/>
        <v>0</v>
      </c>
      <c r="L8" s="124">
        <f t="shared" si="5"/>
        <v>0</v>
      </c>
      <c r="M8" s="124">
        <f t="shared" si="5"/>
        <v>0</v>
      </c>
      <c r="N8" s="124">
        <f t="shared" si="5"/>
        <v>0</v>
      </c>
      <c r="O8" s="124">
        <f t="shared" si="5"/>
        <v>986.40674415000001</v>
      </c>
      <c r="P8" s="124"/>
    </row>
    <row r="9" spans="1:16" ht="12.75" customHeight="1">
      <c r="A9" s="15">
        <v>42373</v>
      </c>
      <c r="B9" s="125">
        <v>144</v>
      </c>
      <c r="C9" s="65">
        <v>6.86</v>
      </c>
      <c r="D9" s="65">
        <f>O9/B9</f>
        <v>6.9318111444444446</v>
      </c>
      <c r="E9" s="65"/>
      <c r="F9" s="65">
        <v>10</v>
      </c>
      <c r="G9" s="24">
        <f t="shared" ref="G9:G11" si="6">SUM(B9*C9*0.000345)</f>
        <v>0.34080480000000002</v>
      </c>
      <c r="H9" s="65"/>
      <c r="I9" s="65"/>
      <c r="J9" s="65"/>
      <c r="K9" s="65"/>
      <c r="L9" s="65"/>
      <c r="M9" s="65"/>
      <c r="N9" s="65"/>
      <c r="O9" s="65">
        <f t="shared" ref="O9:O11" si="7">B9*C9+F9+G9</f>
        <v>998.18080480000003</v>
      </c>
      <c r="P9" s="55"/>
    </row>
    <row r="10" spans="1:16" ht="12.75" customHeight="1">
      <c r="A10" s="15">
        <v>42531</v>
      </c>
      <c r="B10" s="125"/>
      <c r="C10" s="65"/>
      <c r="D10" s="65"/>
      <c r="E10" s="65"/>
      <c r="F10" s="65"/>
      <c r="G10" s="24">
        <f t="shared" si="6"/>
        <v>0</v>
      </c>
      <c r="H10" s="65"/>
      <c r="I10" s="65"/>
      <c r="J10" s="65">
        <f>0.193624205*144</f>
        <v>27.881885519999997</v>
      </c>
      <c r="K10" s="65"/>
      <c r="L10" s="65"/>
      <c r="M10" s="65"/>
      <c r="N10" s="65"/>
      <c r="O10" s="65">
        <f t="shared" si="7"/>
        <v>0</v>
      </c>
      <c r="P10" s="55"/>
    </row>
    <row r="11" spans="1:16" ht="12.75" customHeight="1">
      <c r="A11" s="15">
        <v>42646</v>
      </c>
      <c r="B11" s="125">
        <v>111</v>
      </c>
      <c r="C11" s="65">
        <v>7.9</v>
      </c>
      <c r="D11" s="65">
        <f>O11/B11</f>
        <v>7.9928155900900908</v>
      </c>
      <c r="E11" s="65"/>
      <c r="F11" s="65">
        <v>10</v>
      </c>
      <c r="G11" s="24">
        <f t="shared" si="6"/>
        <v>0.30253050000000004</v>
      </c>
      <c r="H11" s="65"/>
      <c r="I11" s="65"/>
      <c r="J11" s="65"/>
      <c r="K11" s="65"/>
      <c r="L11" s="65"/>
      <c r="M11" s="65"/>
      <c r="N11" s="65"/>
      <c r="O11" s="65">
        <f t="shared" si="7"/>
        <v>887.20253050000008</v>
      </c>
      <c r="P11" s="55"/>
    </row>
    <row r="12" spans="1:16" ht="12.75" customHeight="1">
      <c r="A12" s="15"/>
      <c r="B12" s="125"/>
      <c r="C12" s="65"/>
      <c r="D12" s="65"/>
      <c r="E12" s="65"/>
      <c r="F12" s="65"/>
      <c r="G12" s="22"/>
      <c r="H12" s="65"/>
      <c r="I12" s="65"/>
      <c r="J12" s="65"/>
      <c r="K12" s="65"/>
      <c r="L12" s="65"/>
      <c r="M12" s="65"/>
      <c r="N12" s="65"/>
      <c r="O12" s="65"/>
      <c r="P12" s="55"/>
    </row>
    <row r="13" spans="1:16" ht="12.75" customHeight="1">
      <c r="A13" s="15"/>
      <c r="B13" s="125"/>
      <c r="C13" s="65"/>
      <c r="D13" s="65"/>
      <c r="E13" s="65"/>
      <c r="F13" s="65"/>
      <c r="G13" s="22"/>
      <c r="H13" s="65"/>
      <c r="I13" s="65"/>
      <c r="J13" s="65"/>
      <c r="K13" s="65"/>
      <c r="L13" s="65"/>
      <c r="M13" s="65"/>
      <c r="N13" s="65"/>
      <c r="O13" s="65"/>
      <c r="P13" s="55"/>
    </row>
    <row r="14" spans="1:16" ht="12.75" customHeight="1">
      <c r="A14" s="26">
        <v>2016</v>
      </c>
      <c r="B14" s="126">
        <f>SUM(B9:B13)</f>
        <v>255</v>
      </c>
      <c r="C14" s="124"/>
      <c r="D14" s="124"/>
      <c r="E14" s="124"/>
      <c r="F14" s="124">
        <f t="shared" ref="F14:O14" si="8">SUM(F9:F13)</f>
        <v>20</v>
      </c>
      <c r="G14" s="124">
        <f t="shared" si="8"/>
        <v>0.64333530000000005</v>
      </c>
      <c r="H14" s="124">
        <f t="shared" si="8"/>
        <v>0</v>
      </c>
      <c r="I14" s="124">
        <f t="shared" si="8"/>
        <v>0</v>
      </c>
      <c r="J14" s="124">
        <f t="shared" si="8"/>
        <v>27.881885519999997</v>
      </c>
      <c r="K14" s="124">
        <f t="shared" si="8"/>
        <v>0</v>
      </c>
      <c r="L14" s="124">
        <f t="shared" si="8"/>
        <v>0</v>
      </c>
      <c r="M14" s="124">
        <f t="shared" si="8"/>
        <v>0</v>
      </c>
      <c r="N14" s="124">
        <f t="shared" si="8"/>
        <v>0</v>
      </c>
      <c r="O14" s="124">
        <f t="shared" si="8"/>
        <v>1885.3833353</v>
      </c>
      <c r="P14" s="124"/>
    </row>
    <row r="15" spans="1:16" ht="12.75" customHeight="1">
      <c r="A15" s="15"/>
      <c r="B15" s="125"/>
      <c r="C15" s="65"/>
      <c r="D15" s="65"/>
      <c r="E15" s="65"/>
      <c r="F15" s="65"/>
      <c r="G15" s="22"/>
      <c r="H15" s="65"/>
      <c r="I15" s="65"/>
      <c r="J15" s="65"/>
      <c r="K15" s="65"/>
      <c r="L15" s="65"/>
      <c r="M15" s="65"/>
      <c r="N15" s="65"/>
      <c r="O15" s="65"/>
      <c r="P15" s="55"/>
    </row>
    <row r="16" spans="1:16" ht="12.75" customHeight="1">
      <c r="A16" s="15"/>
      <c r="B16" s="125"/>
      <c r="C16" s="65"/>
      <c r="D16" s="65"/>
      <c r="E16" s="65"/>
      <c r="F16" s="65"/>
      <c r="G16" s="22"/>
      <c r="H16" s="65"/>
      <c r="I16" s="65"/>
      <c r="J16" s="65"/>
      <c r="K16" s="65"/>
      <c r="L16" s="65"/>
      <c r="M16" s="65"/>
      <c r="N16" s="65"/>
      <c r="O16" s="65"/>
      <c r="P16" s="55"/>
    </row>
    <row r="17" spans="1:16" ht="12.75" customHeight="1">
      <c r="A17" s="15"/>
      <c r="B17" s="125"/>
      <c r="C17" s="65"/>
      <c r="D17" s="65"/>
      <c r="E17" s="65"/>
      <c r="F17" s="65"/>
      <c r="G17" s="22"/>
      <c r="H17" s="65"/>
      <c r="I17" s="65"/>
      <c r="J17" s="65"/>
      <c r="K17" s="65"/>
      <c r="L17" s="65"/>
      <c r="M17" s="65"/>
      <c r="N17" s="65"/>
      <c r="O17" s="65"/>
      <c r="P17" s="55"/>
    </row>
    <row r="18" spans="1:16" ht="12.75" customHeight="1">
      <c r="A18" s="26"/>
      <c r="B18" s="127">
        <f>SUM(B15:B17)</f>
        <v>0</v>
      </c>
      <c r="C18" s="124"/>
      <c r="D18" s="124"/>
      <c r="E18" s="124"/>
      <c r="F18" s="124">
        <f t="shared" ref="F18:O18" si="9">SUM(F15:F17)</f>
        <v>0</v>
      </c>
      <c r="G18" s="124">
        <f t="shared" si="9"/>
        <v>0</v>
      </c>
      <c r="H18" s="124">
        <f t="shared" si="9"/>
        <v>0</v>
      </c>
      <c r="I18" s="124">
        <f t="shared" si="9"/>
        <v>0</v>
      </c>
      <c r="J18" s="124">
        <f t="shared" si="9"/>
        <v>0</v>
      </c>
      <c r="K18" s="124">
        <f t="shared" si="9"/>
        <v>0</v>
      </c>
      <c r="L18" s="124">
        <f t="shared" si="9"/>
        <v>0</v>
      </c>
      <c r="M18" s="124">
        <f t="shared" si="9"/>
        <v>0</v>
      </c>
      <c r="N18" s="124">
        <f t="shared" si="9"/>
        <v>0</v>
      </c>
      <c r="O18" s="124">
        <f t="shared" si="9"/>
        <v>0</v>
      </c>
      <c r="P18" s="124"/>
    </row>
    <row r="19" spans="1:16" ht="12.75" customHeight="1">
      <c r="A19" s="15"/>
      <c r="B19" s="125"/>
      <c r="C19" s="65"/>
      <c r="D19" s="65"/>
      <c r="E19" s="65"/>
      <c r="F19" s="65"/>
      <c r="G19" s="22"/>
      <c r="H19" s="65"/>
      <c r="I19" s="65"/>
      <c r="J19" s="65"/>
      <c r="K19" s="65"/>
      <c r="L19" s="65"/>
      <c r="M19" s="65"/>
      <c r="N19" s="65"/>
      <c r="O19" s="65"/>
      <c r="P19" s="55"/>
    </row>
  </sheetData>
  <conditionalFormatting sqref="B2:P19">
    <cfRule type="cellIs" dxfId="1" priority="1" stopIfTrue="1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5"/>
  <dimension ref="A2:X37"/>
  <sheetViews>
    <sheetView tabSelected="1" workbookViewId="0"/>
  </sheetViews>
  <sheetFormatPr defaultColWidth="17.28515625" defaultRowHeight="15.75" customHeight="1"/>
  <cols>
    <col min="1" max="2" width="12.42578125" customWidth="1"/>
    <col min="3" max="3" width="12.5703125" customWidth="1"/>
    <col min="4" max="4" width="12" customWidth="1"/>
    <col min="5" max="5" width="10.85546875" customWidth="1"/>
    <col min="6" max="6" width="10.140625" customWidth="1"/>
    <col min="7" max="7" width="9.42578125" customWidth="1"/>
    <col min="8" max="8" width="12.28515625" customWidth="1"/>
    <col min="9" max="9" width="11.85546875" customWidth="1"/>
    <col min="10" max="10" width="12.5703125" customWidth="1"/>
  </cols>
  <sheetData>
    <row r="2" spans="1:24" ht="15.75" customHeight="1">
      <c r="A2" s="154" t="s">
        <v>91</v>
      </c>
      <c r="B2" s="154" t="s">
        <v>92</v>
      </c>
      <c r="C2" s="154" t="s">
        <v>93</v>
      </c>
      <c r="D2" s="154" t="s">
        <v>94</v>
      </c>
      <c r="E2" s="154" t="s">
        <v>95</v>
      </c>
      <c r="F2" s="154" t="s">
        <v>96</v>
      </c>
      <c r="G2" s="154" t="s">
        <v>97</v>
      </c>
      <c r="H2" s="154" t="s">
        <v>98</v>
      </c>
      <c r="I2" s="154" t="s">
        <v>99</v>
      </c>
      <c r="J2" s="154" t="s">
        <v>100</v>
      </c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</row>
    <row r="3" spans="1:24" ht="15.75" customHeight="1">
      <c r="A3" s="159" t="str">
        <f>P!A3</f>
        <v>BBAS3</v>
      </c>
      <c r="B3" s="160" t="e">
        <f ca="1">P!B3</f>
        <v>#VALUE!</v>
      </c>
      <c r="C3" s="161">
        <v>42370</v>
      </c>
      <c r="D3" s="161">
        <v>42735</v>
      </c>
      <c r="E3" s="162" t="str">
        <f t="shared" ref="E3:E14" ca="1" si="0">IFERROR(__xludf.DUMMYFUNCTION("GOOGLEFINANCE(A3)"),"24.51")</f>
        <v>24.51</v>
      </c>
      <c r="F3" s="162">
        <v>1</v>
      </c>
      <c r="G3" s="164">
        <f>NETWORKDAYS(C3,D3,A26:A37)-1</f>
        <v>248</v>
      </c>
      <c r="H3" s="164" t="e">
        <f t="shared" ref="H3:H5" ca="1" si="1">((((1+(F3/100))^(G3/252))-1)*(B3*E3))</f>
        <v>#VALUE!</v>
      </c>
      <c r="I3" s="164" t="e">
        <f t="shared" ref="I3:I21" ca="1" si="2">SUM(H3*0.223)</f>
        <v>#VALUE!</v>
      </c>
      <c r="J3" s="164" t="e">
        <f t="shared" ref="J3:J21" ca="1" si="3">SUM(H3-I3)</f>
        <v>#VALUE!</v>
      </c>
    </row>
    <row r="4" spans="1:24" ht="15.75" customHeight="1">
      <c r="A4" s="159" t="str">
        <f>P!A4</f>
        <v>BBDC4</v>
      </c>
      <c r="B4" s="160" t="e">
        <f ca="1">P!B4</f>
        <v>#VALUE!</v>
      </c>
      <c r="C4" s="161">
        <v>42370</v>
      </c>
      <c r="D4" s="161">
        <v>42735</v>
      </c>
      <c r="E4" s="162" t="str">
        <f t="shared" ca="1" si="0"/>
        <v>24.51</v>
      </c>
      <c r="F4" s="162">
        <v>1</v>
      </c>
      <c r="G4" s="164">
        <f>NETWORKDAYS(C4,D4,A26:A37)-1</f>
        <v>248</v>
      </c>
      <c r="H4" s="164" t="e">
        <f t="shared" ca="1" si="1"/>
        <v>#VALUE!</v>
      </c>
      <c r="I4" s="164" t="e">
        <f t="shared" ca="1" si="2"/>
        <v>#VALUE!</v>
      </c>
      <c r="J4" s="164" t="e">
        <f t="shared" ca="1" si="3"/>
        <v>#VALUE!</v>
      </c>
    </row>
    <row r="5" spans="1:24" ht="15.75" customHeight="1">
      <c r="A5" s="159" t="str">
        <f>P!A5</f>
        <v>BBSE3</v>
      </c>
      <c r="B5" s="160" t="e">
        <f ca="1">P!B5</f>
        <v>#VALUE!</v>
      </c>
      <c r="C5" s="161">
        <v>42370</v>
      </c>
      <c r="D5" s="161">
        <v>42735</v>
      </c>
      <c r="E5" s="162" t="str">
        <f t="shared" ca="1" si="0"/>
        <v>24.51</v>
      </c>
      <c r="F5" s="162">
        <v>1</v>
      </c>
      <c r="G5" s="164">
        <f>NETWORKDAYS(C5,D5,A26:A37)-1</f>
        <v>248</v>
      </c>
      <c r="H5" s="164" t="e">
        <f t="shared" ca="1" si="1"/>
        <v>#VALUE!</v>
      </c>
      <c r="I5" s="164" t="e">
        <f t="shared" ca="1" si="2"/>
        <v>#VALUE!</v>
      </c>
      <c r="J5" s="164" t="e">
        <f t="shared" ca="1" si="3"/>
        <v>#VALUE!</v>
      </c>
    </row>
    <row r="6" spans="1:24" ht="15.75" customHeight="1">
      <c r="A6" s="159" t="str">
        <f>P!A6</f>
        <v>BVMF3</v>
      </c>
      <c r="B6" s="160" t="e">
        <f ca="1">P!B6</f>
        <v>#VALUE!</v>
      </c>
      <c r="C6" s="161">
        <v>42370</v>
      </c>
      <c r="D6" s="161">
        <v>42735</v>
      </c>
      <c r="E6" s="162" t="str">
        <f t="shared" ca="1" si="0"/>
        <v>24.51</v>
      </c>
      <c r="F6" s="162">
        <v>1</v>
      </c>
      <c r="G6" s="164">
        <f>NETWORKDAYS(C6,D6,A26:A37)-1</f>
        <v>248</v>
      </c>
      <c r="H6" s="164" t="e">
        <f ca="1">((B6*E6)*(((1+(F6/100))^(G6/252))-1))</f>
        <v>#VALUE!</v>
      </c>
      <c r="I6" s="164" t="e">
        <f t="shared" ca="1" si="2"/>
        <v>#VALUE!</v>
      </c>
      <c r="J6" s="164" t="e">
        <f t="shared" ca="1" si="3"/>
        <v>#VALUE!</v>
      </c>
    </row>
    <row r="7" spans="1:24" ht="15.75" customHeight="1">
      <c r="A7" s="159" t="str">
        <f>P!A7</f>
        <v>CGAS5</v>
      </c>
      <c r="B7" s="160" t="e">
        <f ca="1">P!B7</f>
        <v>#VALUE!</v>
      </c>
      <c r="C7" s="161">
        <v>42370</v>
      </c>
      <c r="D7" s="161">
        <v>42735</v>
      </c>
      <c r="E7" s="162" t="str">
        <f t="shared" ca="1" si="0"/>
        <v>24.51</v>
      </c>
      <c r="F7" s="162">
        <v>1</v>
      </c>
      <c r="G7" s="164">
        <f>NETWORKDAYS(C7,D7,A26:A37)-1</f>
        <v>248</v>
      </c>
      <c r="H7" s="164" t="e">
        <f t="shared" ref="H7:H21" ca="1" si="4">((((1+(F7/100))^(G7/252))-1)*(B7*E7))</f>
        <v>#VALUE!</v>
      </c>
      <c r="I7" s="164" t="e">
        <f t="shared" ca="1" si="2"/>
        <v>#VALUE!</v>
      </c>
      <c r="J7" s="164" t="e">
        <f t="shared" ca="1" si="3"/>
        <v>#VALUE!</v>
      </c>
    </row>
    <row r="8" spans="1:24" ht="15.75" customHeight="1">
      <c r="A8" s="159" t="str">
        <f>P!A8</f>
        <v>CIEL3</v>
      </c>
      <c r="B8" s="160" t="e">
        <f ca="1">P!B8</f>
        <v>#VALUE!</v>
      </c>
      <c r="C8" s="161">
        <v>42370</v>
      </c>
      <c r="D8" s="161">
        <v>42735</v>
      </c>
      <c r="E8" s="162" t="str">
        <f t="shared" ca="1" si="0"/>
        <v>24.51</v>
      </c>
      <c r="F8" s="162">
        <v>1</v>
      </c>
      <c r="G8" s="164">
        <f>NETWORKDAYS(C8,D8,A26:A37)-1</f>
        <v>248</v>
      </c>
      <c r="H8" s="164" t="e">
        <f t="shared" ca="1" si="4"/>
        <v>#VALUE!</v>
      </c>
      <c r="I8" s="164" t="e">
        <f t="shared" ca="1" si="2"/>
        <v>#VALUE!</v>
      </c>
      <c r="J8" s="164" t="e">
        <f t="shared" ca="1" si="3"/>
        <v>#VALUE!</v>
      </c>
    </row>
    <row r="9" spans="1:24" ht="15.75" customHeight="1">
      <c r="A9" s="159" t="str">
        <f>P!A9</f>
        <v>CMIG3</v>
      </c>
      <c r="B9" s="160" t="e">
        <f ca="1">P!B9</f>
        <v>#VALUE!</v>
      </c>
      <c r="C9" s="161">
        <v>42370</v>
      </c>
      <c r="D9" s="161">
        <v>42735</v>
      </c>
      <c r="E9" s="162" t="str">
        <f t="shared" ca="1" si="0"/>
        <v>24.51</v>
      </c>
      <c r="F9" s="162">
        <v>1</v>
      </c>
      <c r="G9" s="164">
        <f>NETWORKDAYS(C9,D9,A26:A37)-1</f>
        <v>248</v>
      </c>
      <c r="H9" s="164" t="e">
        <f t="shared" ca="1" si="4"/>
        <v>#VALUE!</v>
      </c>
      <c r="I9" s="164" t="e">
        <f t="shared" ca="1" si="2"/>
        <v>#VALUE!</v>
      </c>
      <c r="J9" s="164" t="e">
        <f t="shared" ca="1" si="3"/>
        <v>#VALUE!</v>
      </c>
    </row>
    <row r="10" spans="1:24" ht="15.75" customHeight="1">
      <c r="A10" s="159" t="str">
        <f>P!A10</f>
        <v>ELPL4</v>
      </c>
      <c r="B10" s="160" t="e">
        <f ca="1">P!B10</f>
        <v>#VALUE!</v>
      </c>
      <c r="C10" s="161">
        <v>42370</v>
      </c>
      <c r="D10" s="161">
        <v>42735</v>
      </c>
      <c r="E10" s="162" t="str">
        <f t="shared" ca="1" si="0"/>
        <v>24.51</v>
      </c>
      <c r="F10" s="162">
        <v>1</v>
      </c>
      <c r="G10" s="164">
        <f>NETWORKDAYS(C10,D10,A26:A37)-1</f>
        <v>248</v>
      </c>
      <c r="H10" s="164" t="e">
        <f t="shared" ca="1" si="4"/>
        <v>#VALUE!</v>
      </c>
      <c r="I10" s="164" t="e">
        <f t="shared" ca="1" si="2"/>
        <v>#VALUE!</v>
      </c>
      <c r="J10" s="164" t="e">
        <f t="shared" ca="1" si="3"/>
        <v>#VALUE!</v>
      </c>
    </row>
    <row r="11" spans="1:24" ht="15.75" customHeight="1">
      <c r="A11" s="159" t="str">
        <f>P!A11</f>
        <v>PETR4</v>
      </c>
      <c r="B11" s="160" t="e">
        <f ca="1">P!B11</f>
        <v>#VALUE!</v>
      </c>
      <c r="C11" s="161">
        <v>42370</v>
      </c>
      <c r="D11" s="161">
        <v>42735</v>
      </c>
      <c r="E11" s="162" t="str">
        <f t="shared" ca="1" si="0"/>
        <v>24.51</v>
      </c>
      <c r="F11" s="162">
        <v>1</v>
      </c>
      <c r="G11" s="164">
        <f>NETWORKDAYS(C11,D11,A26:A37)-1</f>
        <v>248</v>
      </c>
      <c r="H11" s="164" t="e">
        <f t="shared" ca="1" si="4"/>
        <v>#VALUE!</v>
      </c>
      <c r="I11" s="164" t="e">
        <f t="shared" ca="1" si="2"/>
        <v>#VALUE!</v>
      </c>
      <c r="J11" s="164" t="e">
        <f t="shared" ca="1" si="3"/>
        <v>#VALUE!</v>
      </c>
    </row>
    <row r="12" spans="1:24" ht="15.75" customHeight="1">
      <c r="A12" s="159" t="str">
        <f>P!A12</f>
        <v>PRML3</v>
      </c>
      <c r="B12" s="160" t="e">
        <f ca="1">P!B12</f>
        <v>#VALUE!</v>
      </c>
      <c r="C12" s="161">
        <v>42370</v>
      </c>
      <c r="D12" s="161">
        <v>42735</v>
      </c>
      <c r="E12" s="162" t="str">
        <f t="shared" ca="1" si="0"/>
        <v>24.51</v>
      </c>
      <c r="F12" s="162">
        <v>1</v>
      </c>
      <c r="G12" s="164">
        <f>NETWORKDAYS(C12,D12,A26:A37)-1</f>
        <v>248</v>
      </c>
      <c r="H12" s="164" t="e">
        <f t="shared" ca="1" si="4"/>
        <v>#VALUE!</v>
      </c>
      <c r="I12" s="164" t="e">
        <f t="shared" ca="1" si="2"/>
        <v>#VALUE!</v>
      </c>
      <c r="J12" s="164" t="e">
        <f t="shared" ca="1" si="3"/>
        <v>#VALUE!</v>
      </c>
    </row>
    <row r="13" spans="1:24" ht="15.75" customHeight="1">
      <c r="A13" s="159" t="str">
        <f>P!A13</f>
        <v>PSSA3</v>
      </c>
      <c r="B13" s="160" t="e">
        <f ca="1">P!B13</f>
        <v>#VALUE!</v>
      </c>
      <c r="C13" s="161">
        <v>42370</v>
      </c>
      <c r="D13" s="161">
        <v>42735</v>
      </c>
      <c r="E13" s="162" t="str">
        <f t="shared" ca="1" si="0"/>
        <v>24.51</v>
      </c>
      <c r="F13" s="162">
        <v>1</v>
      </c>
      <c r="G13" s="164">
        <f>NETWORKDAYS(C13,D13,A26:A37)-1</f>
        <v>248</v>
      </c>
      <c r="H13" s="164" t="e">
        <f t="shared" ca="1" si="4"/>
        <v>#VALUE!</v>
      </c>
      <c r="I13" s="164" t="e">
        <f t="shared" ca="1" si="2"/>
        <v>#VALUE!</v>
      </c>
      <c r="J13" s="164" t="e">
        <f t="shared" ca="1" si="3"/>
        <v>#VALUE!</v>
      </c>
    </row>
    <row r="14" spans="1:24" ht="15.75" customHeight="1">
      <c r="A14" s="159" t="str">
        <f>P!A14</f>
        <v>TIMP3</v>
      </c>
      <c r="B14" s="160" t="e">
        <f ca="1">P!B14</f>
        <v>#VALUE!</v>
      </c>
      <c r="C14" s="161">
        <v>42370</v>
      </c>
      <c r="D14" s="161">
        <v>42735</v>
      </c>
      <c r="E14" s="162" t="str">
        <f t="shared" ca="1" si="0"/>
        <v>24.51</v>
      </c>
      <c r="F14" s="162">
        <v>1</v>
      </c>
      <c r="G14" s="164">
        <f>NETWORKDAYS(C14,D14,A26:A37)-1</f>
        <v>248</v>
      </c>
      <c r="H14" s="164" t="e">
        <f t="shared" ca="1" si="4"/>
        <v>#VALUE!</v>
      </c>
      <c r="I14" s="164" t="e">
        <f t="shared" ca="1" si="2"/>
        <v>#VALUE!</v>
      </c>
      <c r="J14" s="164" t="e">
        <f t="shared" ca="1" si="3"/>
        <v>#VALUE!</v>
      </c>
    </row>
    <row r="15" spans="1:24" ht="15.75" customHeight="1">
      <c r="A15" s="159"/>
      <c r="B15" s="166"/>
      <c r="C15" s="161"/>
      <c r="D15" s="161"/>
      <c r="E15" s="162"/>
      <c r="F15" s="162"/>
      <c r="G15" s="164">
        <f>NETWORKDAYS(C15,D15,A26:A37)-1</f>
        <v>-1</v>
      </c>
      <c r="H15" s="164">
        <f t="shared" si="4"/>
        <v>0</v>
      </c>
      <c r="I15" s="164">
        <f t="shared" si="2"/>
        <v>0</v>
      </c>
      <c r="J15" s="164">
        <f t="shared" si="3"/>
        <v>0</v>
      </c>
    </row>
    <row r="16" spans="1:24" ht="15.75" customHeight="1">
      <c r="A16" s="159"/>
      <c r="B16" s="166"/>
      <c r="C16" s="161"/>
      <c r="D16" s="161"/>
      <c r="E16" s="162"/>
      <c r="F16" s="162"/>
      <c r="G16" s="164">
        <f>NETWORKDAYS(C16,D16,A26:A37)-1</f>
        <v>-1</v>
      </c>
      <c r="H16" s="164">
        <f t="shared" si="4"/>
        <v>0</v>
      </c>
      <c r="I16" s="164">
        <f t="shared" si="2"/>
        <v>0</v>
      </c>
      <c r="J16" s="164">
        <f t="shared" si="3"/>
        <v>0</v>
      </c>
    </row>
    <row r="17" spans="1:10" ht="15.75" customHeight="1">
      <c r="A17" s="159"/>
      <c r="B17" s="166"/>
      <c r="C17" s="161"/>
      <c r="D17" s="161"/>
      <c r="E17" s="162"/>
      <c r="F17" s="162"/>
      <c r="G17" s="164">
        <f>NETWORKDAYS(C17,D17,A26:A37)-1</f>
        <v>-1</v>
      </c>
      <c r="H17" s="164">
        <f t="shared" si="4"/>
        <v>0</v>
      </c>
      <c r="I17" s="164">
        <f t="shared" si="2"/>
        <v>0</v>
      </c>
      <c r="J17" s="164">
        <f t="shared" si="3"/>
        <v>0</v>
      </c>
    </row>
    <row r="18" spans="1:10" ht="15.75" customHeight="1">
      <c r="A18" s="159"/>
      <c r="B18" s="166"/>
      <c r="C18" s="161"/>
      <c r="D18" s="161"/>
      <c r="E18" s="162"/>
      <c r="F18" s="162"/>
      <c r="G18" s="164">
        <f>NETWORKDAYS(C18,D18,A26:A37)-1</f>
        <v>-1</v>
      </c>
      <c r="H18" s="164">
        <f t="shared" si="4"/>
        <v>0</v>
      </c>
      <c r="I18" s="164">
        <f t="shared" si="2"/>
        <v>0</v>
      </c>
      <c r="J18" s="164">
        <f t="shared" si="3"/>
        <v>0</v>
      </c>
    </row>
    <row r="19" spans="1:10" ht="15.75" customHeight="1">
      <c r="A19" s="159"/>
      <c r="B19" s="166"/>
      <c r="C19" s="161"/>
      <c r="D19" s="161"/>
      <c r="E19" s="162"/>
      <c r="F19" s="162"/>
      <c r="G19" s="164">
        <f>NETWORKDAYS(C19,D19,A26:A37)-1</f>
        <v>-1</v>
      </c>
      <c r="H19" s="164">
        <f t="shared" si="4"/>
        <v>0</v>
      </c>
      <c r="I19" s="164">
        <f t="shared" si="2"/>
        <v>0</v>
      </c>
      <c r="J19" s="164">
        <f t="shared" si="3"/>
        <v>0</v>
      </c>
    </row>
    <row r="20" spans="1:10" ht="15.75" customHeight="1">
      <c r="A20" s="159"/>
      <c r="B20" s="166"/>
      <c r="C20" s="161"/>
      <c r="D20" s="161"/>
      <c r="E20" s="162"/>
      <c r="F20" s="162"/>
      <c r="G20" s="164">
        <f>NETWORKDAYS(C20,D20,A26:A37)-1</f>
        <v>-1</v>
      </c>
      <c r="H20" s="164">
        <f t="shared" si="4"/>
        <v>0</v>
      </c>
      <c r="I20" s="164">
        <f t="shared" si="2"/>
        <v>0</v>
      </c>
      <c r="J20" s="164">
        <f t="shared" si="3"/>
        <v>0</v>
      </c>
    </row>
    <row r="21" spans="1:10" ht="15.75" customHeight="1">
      <c r="A21" s="159"/>
      <c r="B21" s="166"/>
      <c r="C21" s="161"/>
      <c r="D21" s="161"/>
      <c r="E21" s="162"/>
      <c r="F21" s="162"/>
      <c r="G21" s="164">
        <f>NETWORKDAYS(C21,D21,A26:A37)-1</f>
        <v>-1</v>
      </c>
      <c r="H21" s="164">
        <f t="shared" si="4"/>
        <v>0</v>
      </c>
      <c r="I21" s="164">
        <f t="shared" si="2"/>
        <v>0</v>
      </c>
      <c r="J21" s="164">
        <f t="shared" si="3"/>
        <v>0</v>
      </c>
    </row>
    <row r="22" spans="1:10" ht="15.75" customHeight="1">
      <c r="A22" s="170" t="s">
        <v>37</v>
      </c>
      <c r="B22" s="170"/>
      <c r="C22" s="170"/>
      <c r="D22" s="170"/>
      <c r="E22" s="170"/>
      <c r="F22" s="170"/>
      <c r="G22" s="170"/>
      <c r="H22" s="173" t="e">
        <f t="shared" ref="H22:J22" ca="1" si="5">SUM(H3:H21)</f>
        <v>#VALUE!</v>
      </c>
      <c r="I22" s="173" t="e">
        <f t="shared" ca="1" si="5"/>
        <v>#VALUE!</v>
      </c>
      <c r="J22" s="173" t="e">
        <f t="shared" ca="1" si="5"/>
        <v>#VALUE!</v>
      </c>
    </row>
    <row r="24" spans="1:10" ht="15.75" customHeight="1">
      <c r="A24" s="170">
        <v>2015</v>
      </c>
    </row>
    <row r="25" spans="1:10" ht="15.75" customHeight="1">
      <c r="A25" s="170" t="s">
        <v>111</v>
      </c>
    </row>
    <row r="26" spans="1:10" ht="15.75" customHeight="1">
      <c r="A26" s="174">
        <v>42370</v>
      </c>
    </row>
    <row r="27" spans="1:10" ht="15.75" customHeight="1">
      <c r="A27" s="174">
        <v>42394</v>
      </c>
    </row>
    <row r="28" spans="1:10" ht="15.75" customHeight="1">
      <c r="A28" s="174">
        <v>42408</v>
      </c>
    </row>
    <row r="29" spans="1:10" ht="15.75" customHeight="1">
      <c r="A29" s="174">
        <v>42409</v>
      </c>
    </row>
    <row r="30" spans="1:10" ht="15.75" customHeight="1">
      <c r="A30" s="174">
        <v>42454</v>
      </c>
    </row>
    <row r="31" spans="1:10" ht="15.75" customHeight="1">
      <c r="A31" s="174">
        <v>42481</v>
      </c>
    </row>
    <row r="32" spans="1:10" ht="15.75" customHeight="1">
      <c r="A32" s="174">
        <v>42516</v>
      </c>
    </row>
    <row r="33" spans="1:1" ht="15.75" customHeight="1">
      <c r="A33" s="174">
        <v>42620</v>
      </c>
    </row>
    <row r="34" spans="1:1" ht="15.75" customHeight="1">
      <c r="A34" s="174">
        <v>42716</v>
      </c>
    </row>
    <row r="35" spans="1:1" ht="15.75" customHeight="1">
      <c r="A35" s="174">
        <v>42676</v>
      </c>
    </row>
    <row r="36" spans="1:1" ht="15.75" customHeight="1">
      <c r="A36" s="174">
        <v>42689</v>
      </c>
    </row>
    <row r="37" spans="1:1" ht="15.75" customHeight="1">
      <c r="A37" s="174">
        <v>42734</v>
      </c>
    </row>
  </sheetData>
  <conditionalFormatting sqref="G3:J21">
    <cfRule type="cellIs" dxfId="0" priority="1" operator="lessThan">
      <formula>0.0001</formula>
    </cfRule>
  </conditionalFormatting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</vt:lpstr>
      <vt:lpstr>Mobile</vt:lpstr>
      <vt:lpstr>BBAS</vt:lpstr>
      <vt:lpstr>BBDC</vt:lpstr>
      <vt:lpstr>BBSE</vt:lpstr>
      <vt:lpstr>BVMF</vt:lpstr>
      <vt:lpstr>CIEL</vt:lpstr>
      <vt:lpstr>CGAS</vt:lpstr>
      <vt:lpstr>CMIG</vt:lpstr>
      <vt:lpstr>PETR</vt:lpstr>
      <vt:lpstr>ELPL</vt:lpstr>
      <vt:lpstr>PRML</vt:lpstr>
      <vt:lpstr>PSSA</vt:lpstr>
      <vt:lpstr>TIMP</vt:lpstr>
      <vt:lpstr>Aluguel</vt:lpstr>
    </vt:vector>
  </TitlesOfParts>
  <Company>ePlanilhas.com.br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ePlanilhas.com.br</dc:creator>
  <cp:lastModifiedBy>Dell</cp:lastModifiedBy>
  <dcterms:created xsi:type="dcterms:W3CDTF">2017-04-11T18:59:13Z</dcterms:created>
  <dcterms:modified xsi:type="dcterms:W3CDTF">2024-08-07T19:30:03Z</dcterms:modified>
</cp:coreProperties>
</file>