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complica\Módulo VII\"/>
    </mc:Choice>
  </mc:AlternateContent>
  <bookViews>
    <workbookView xWindow="0" yWindow="0" windowWidth="20490" windowHeight="8235"/>
  </bookViews>
  <sheets>
    <sheet name="Custeio Absorção" sheetId="3" r:id="rId1"/>
    <sheet name="Custeio Variavel ou Direto" sheetId="5" r:id="rId2"/>
    <sheet name="DR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6" l="1"/>
  <c r="C15" i="6"/>
  <c r="G5" i="6"/>
  <c r="H5" i="6" s="1"/>
  <c r="C5" i="6"/>
  <c r="D5" i="6" s="1"/>
  <c r="E29" i="5"/>
  <c r="C27" i="6" s="1"/>
  <c r="F27" i="6" s="1"/>
  <c r="F11" i="5"/>
  <c r="F7" i="5"/>
  <c r="E23" i="5"/>
  <c r="F9" i="5"/>
  <c r="F8" i="5"/>
  <c r="F6" i="5" s="1"/>
  <c r="K23" i="3"/>
  <c r="C22" i="6" s="1"/>
  <c r="F36" i="3"/>
  <c r="F55" i="3" s="1"/>
  <c r="F35" i="3"/>
  <c r="F54" i="3" s="1"/>
  <c r="F34" i="3"/>
  <c r="F53" i="3" s="1"/>
  <c r="F32" i="3"/>
  <c r="F51" i="3" s="1"/>
  <c r="F33" i="3"/>
  <c r="F52" i="3" s="1"/>
  <c r="F31" i="3"/>
  <c r="F50" i="3" s="1"/>
  <c r="F30" i="3"/>
  <c r="F49" i="3" s="1"/>
  <c r="F29" i="3"/>
  <c r="F48" i="3" s="1"/>
  <c r="F28" i="3"/>
  <c r="F47" i="3" s="1"/>
  <c r="F27" i="3"/>
  <c r="F46" i="3" s="1"/>
  <c r="F26" i="3"/>
  <c r="F45" i="3" s="1"/>
  <c r="F25" i="3"/>
  <c r="F44" i="3" s="1"/>
  <c r="F24" i="3"/>
  <c r="F43" i="3" s="1"/>
  <c r="F23" i="3"/>
  <c r="F42" i="3" s="1"/>
  <c r="L9" i="3"/>
  <c r="L8" i="3"/>
  <c r="F22" i="6" l="1"/>
  <c r="F5" i="5"/>
  <c r="F18" i="5" s="1"/>
  <c r="C10" i="6" s="1"/>
  <c r="C29" i="6"/>
  <c r="F29" i="6" s="1"/>
  <c r="D10" i="6"/>
  <c r="D8" i="6"/>
  <c r="L11" i="3"/>
  <c r="L7" i="3"/>
  <c r="C42" i="3"/>
  <c r="I4" i="3" s="1"/>
  <c r="E42" i="3"/>
  <c r="K4" i="3" s="1"/>
  <c r="C43" i="3"/>
  <c r="E43" i="3"/>
  <c r="C44" i="3"/>
  <c r="E44" i="3"/>
  <c r="C45" i="3"/>
  <c r="E45" i="3"/>
  <c r="C46" i="3"/>
  <c r="I8" i="3" s="1"/>
  <c r="E46" i="3"/>
  <c r="K8" i="3" s="1"/>
  <c r="C47" i="3"/>
  <c r="I9" i="3" s="1"/>
  <c r="E47" i="3"/>
  <c r="K9" i="3" s="1"/>
  <c r="C48" i="3"/>
  <c r="I10" i="3" s="1"/>
  <c r="E48" i="3"/>
  <c r="K10" i="3" s="1"/>
  <c r="C49" i="3"/>
  <c r="E49" i="3"/>
  <c r="C50" i="3"/>
  <c r="I12" i="3" s="1"/>
  <c r="E50" i="3"/>
  <c r="K12" i="3" s="1"/>
  <c r="C51" i="3"/>
  <c r="I13" i="3" s="1"/>
  <c r="E51" i="3"/>
  <c r="K13" i="3" s="1"/>
  <c r="C52" i="3"/>
  <c r="I14" i="3" s="1"/>
  <c r="E52" i="3"/>
  <c r="K14" i="3" s="1"/>
  <c r="C53" i="3"/>
  <c r="I15" i="3" s="1"/>
  <c r="E53" i="3"/>
  <c r="K15" i="3" s="1"/>
  <c r="C54" i="3"/>
  <c r="I16" i="3" s="1"/>
  <c r="E54" i="3"/>
  <c r="K16" i="3" s="1"/>
  <c r="C55" i="3"/>
  <c r="I17" i="3" s="1"/>
  <c r="E55" i="3"/>
  <c r="K17" i="3" s="1"/>
  <c r="D42" i="3"/>
  <c r="J4" i="3" s="1"/>
  <c r="D43" i="3"/>
  <c r="D44" i="3"/>
  <c r="D45" i="3"/>
  <c r="D46" i="3"/>
  <c r="J8" i="3" s="1"/>
  <c r="D47" i="3"/>
  <c r="J9" i="3" s="1"/>
  <c r="D48" i="3"/>
  <c r="J10" i="3" s="1"/>
  <c r="D49" i="3"/>
  <c r="D50" i="3"/>
  <c r="J12" i="3" s="1"/>
  <c r="D51" i="3"/>
  <c r="J13" i="3" s="1"/>
  <c r="D52" i="3"/>
  <c r="J14" i="3" s="1"/>
  <c r="D53" i="3"/>
  <c r="J15" i="3" s="1"/>
  <c r="D54" i="3"/>
  <c r="J16" i="3" s="1"/>
  <c r="D55" i="3"/>
  <c r="J17" i="3" s="1"/>
  <c r="L5" i="3"/>
  <c r="L6" i="3"/>
  <c r="E33" i="5" l="1"/>
  <c r="J6" i="3"/>
  <c r="K6" i="3"/>
  <c r="I6" i="3"/>
  <c r="K5" i="3"/>
  <c r="I5" i="3"/>
  <c r="J5" i="3"/>
  <c r="L18" i="3"/>
  <c r="K7" i="3"/>
  <c r="I7" i="3"/>
  <c r="J7" i="3"/>
  <c r="K11" i="3"/>
  <c r="I11" i="3"/>
  <c r="J11" i="3"/>
  <c r="C6" i="6" l="1"/>
  <c r="C16" i="6"/>
  <c r="K18" i="3"/>
  <c r="K28" i="3" s="1"/>
  <c r="J18" i="3"/>
  <c r="G8" i="6" s="1"/>
  <c r="H8" i="6" s="1"/>
  <c r="I18" i="3"/>
  <c r="G9" i="6" s="1"/>
  <c r="H9" i="6" s="1"/>
  <c r="C23" i="6" l="1"/>
  <c r="K30" i="3"/>
  <c r="K34" i="3" s="1"/>
  <c r="C7" i="6"/>
  <c r="D6" i="6"/>
  <c r="C9" i="6" l="1"/>
  <c r="D7" i="6"/>
  <c r="G6" i="6"/>
  <c r="G16" i="6"/>
  <c r="J16" i="6" s="1"/>
  <c r="F23" i="6"/>
  <c r="C24" i="6"/>
  <c r="F24" i="6" s="1"/>
  <c r="G7" i="6" l="1"/>
  <c r="H6" i="6"/>
  <c r="C11" i="6"/>
  <c r="D11" i="6" s="1"/>
  <c r="D9" i="6"/>
  <c r="G11" i="6" l="1"/>
  <c r="H7" i="6"/>
  <c r="H11" i="6" l="1"/>
  <c r="J11" i="6"/>
</calcChain>
</file>

<file path=xl/sharedStrings.xml><?xml version="1.0" encoding="utf-8"?>
<sst xmlns="http://schemas.openxmlformats.org/spreadsheetml/2006/main" count="179" uniqueCount="70">
  <si>
    <t xml:space="preserve">Salários </t>
  </si>
  <si>
    <t xml:space="preserve">INSS </t>
  </si>
  <si>
    <t xml:space="preserve">FGTS </t>
  </si>
  <si>
    <t>Vale Transporte</t>
  </si>
  <si>
    <t>13º Salário</t>
  </si>
  <si>
    <t>Férias</t>
  </si>
  <si>
    <t xml:space="preserve">Plano Saúde </t>
  </si>
  <si>
    <t xml:space="preserve">Alimentação - Vale-refeição </t>
  </si>
  <si>
    <t xml:space="preserve">Aluguel </t>
  </si>
  <si>
    <t>Contabilidade</t>
  </si>
  <si>
    <t>Departamentos</t>
  </si>
  <si>
    <t>Administrativos</t>
  </si>
  <si>
    <t>Comerciais</t>
  </si>
  <si>
    <t>Produtivos</t>
  </si>
  <si>
    <t>Serviços Prestados por PJ</t>
  </si>
  <si>
    <t>Material de escritório</t>
  </si>
  <si>
    <t>Material de Limpeza</t>
  </si>
  <si>
    <t>Despesas administrativas diversas</t>
  </si>
  <si>
    <t>TOTAL</t>
  </si>
  <si>
    <t>Nº Funcionários Alocados</t>
  </si>
  <si>
    <t>Contas</t>
  </si>
  <si>
    <t>Metros quadrados</t>
  </si>
  <si>
    <t>Alocação direta pelo consumo do serviço</t>
  </si>
  <si>
    <t>alocado 100% no Administrativo</t>
  </si>
  <si>
    <t>Nº Funcionários Alocados no Adm e Comercial</t>
  </si>
  <si>
    <t>TOTAL CUSTOS INDIRETOS</t>
  </si>
  <si>
    <t>2º Coletar Dados para o rateio</t>
  </si>
  <si>
    <t>3º Calcular os Percentuais para o rateio</t>
  </si>
  <si>
    <t>4º - Alocar os custos e Despesas aos departamentos</t>
  </si>
  <si>
    <t>5º - Transferir os custos aos produtos</t>
  </si>
  <si>
    <t>Custos Diretos de Fabricação</t>
  </si>
  <si>
    <t>Matéria Prima Consumida</t>
  </si>
  <si>
    <t>Mão de Obra Direta</t>
  </si>
  <si>
    <t>Material de embalagem</t>
  </si>
  <si>
    <t>Outros Custos Diretos</t>
  </si>
  <si>
    <t>Custos Indiretos de Fabricação</t>
  </si>
  <si>
    <t>Custo Total de Fabricação</t>
  </si>
  <si>
    <t>Total de Unidades Produzodas</t>
  </si>
  <si>
    <t>Custo Unitário de Produção</t>
  </si>
  <si>
    <t>1º - Definir Critérios de Rateio para os custos e despesas indiretas</t>
  </si>
  <si>
    <t>1º - Apurar os custos e despesas fixas</t>
  </si>
  <si>
    <t>2º - Apurar os custos variáveis</t>
  </si>
  <si>
    <t>Custos Variáveis do período</t>
  </si>
  <si>
    <t>Total de Unidades Produzidas</t>
  </si>
  <si>
    <t>Receita Líquida de Venda</t>
  </si>
  <si>
    <t>Custos Variáveis</t>
  </si>
  <si>
    <t>Margem Bruta</t>
  </si>
  <si>
    <t>Despesas Variáveis</t>
  </si>
  <si>
    <t>Margem Líquida</t>
  </si>
  <si>
    <t>Custos e despesas Fixas</t>
  </si>
  <si>
    <t>Resultado do Período</t>
  </si>
  <si>
    <t>DRE - Método Variável - Direto</t>
  </si>
  <si>
    <t>Unidades Vendidas</t>
  </si>
  <si>
    <t>Preço de Venda</t>
  </si>
  <si>
    <t>Custo do Produto Vendido</t>
  </si>
  <si>
    <t>Lucro Bruto</t>
  </si>
  <si>
    <t>Despesas Comerciais</t>
  </si>
  <si>
    <t>Despesas Administrativas</t>
  </si>
  <si>
    <t>Estoque Inicial</t>
  </si>
  <si>
    <t>Estoque Final</t>
  </si>
  <si>
    <t>Custo no Estoque</t>
  </si>
  <si>
    <t>Diferenças</t>
  </si>
  <si>
    <t>A diferença de 1.562 no resultado entre os dois métodos se refere aos custos alocados aos produtos por meio de rateio(custos indiretos) que não foram vendidos no período e por isso ficaram "estocados"</t>
  </si>
  <si>
    <t>Custos Diretos por unidade</t>
  </si>
  <si>
    <t>Custos Indiretos por unidade</t>
  </si>
  <si>
    <t>Custo de produção unitário</t>
  </si>
  <si>
    <t>Composição do Custo do Estoque (Custeio Absorção)</t>
  </si>
  <si>
    <t>DRE - Método Custeio por Absorção</t>
  </si>
  <si>
    <t>Composição do Custo do Estoque (Custeio Variável ou  Direto)</t>
  </si>
  <si>
    <t>Custos Variáveis por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</si>
</sst>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&quot;R$&quot;* #,##0.00_);_(&quot;R$&quot;* \(#,##0.00\);_(&quot;R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0" fontId="4" fillId="0" borderId="0" xfId="3" applyFont="1"/>
    <xf numFmtId="0" fontId="6" fillId="0" borderId="0" xfId="3" quotePrefix="1" applyFont="1" applyAlignment="1">
      <alignment horizontal="left" indent="1"/>
    </xf>
    <xf numFmtId="0" fontId="7" fillId="0" borderId="0" xfId="0" applyFont="1"/>
    <xf numFmtId="0" fontId="5" fillId="0" borderId="0" xfId="0" applyFont="1" applyAlignment="1">
      <alignment horizontal="center"/>
    </xf>
    <xf numFmtId="9" fontId="5" fillId="0" borderId="0" xfId="2" applyFont="1" applyAlignment="1">
      <alignment horizontal="center"/>
    </xf>
    <xf numFmtId="0" fontId="5" fillId="0" borderId="2" xfId="0" applyFont="1" applyBorder="1"/>
    <xf numFmtId="3" fontId="5" fillId="0" borderId="0" xfId="1" applyNumberFormat="1" applyFont="1" applyBorder="1"/>
    <xf numFmtId="3" fontId="5" fillId="0" borderId="0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4" fillId="0" borderId="1" xfId="3" applyFont="1" applyBorder="1"/>
    <xf numFmtId="3" fontId="7" fillId="0" borderId="1" xfId="0" applyNumberFormat="1" applyFont="1" applyBorder="1"/>
    <xf numFmtId="0" fontId="5" fillId="0" borderId="3" xfId="0" applyFont="1" applyBorder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3" fontId="7" fillId="0" borderId="0" xfId="1" applyNumberFormat="1" applyFont="1" applyBorder="1"/>
    <xf numFmtId="4" fontId="7" fillId="0" borderId="0" xfId="1" applyNumberFormat="1" applyFont="1" applyBorder="1"/>
    <xf numFmtId="3" fontId="7" fillId="0" borderId="0" xfId="0" applyNumberFormat="1" applyFont="1"/>
    <xf numFmtId="0" fontId="7" fillId="0" borderId="0" xfId="0" quotePrefix="1" applyFont="1"/>
    <xf numFmtId="9" fontId="5" fillId="0" borderId="0" xfId="2" applyFont="1" applyBorder="1"/>
    <xf numFmtId="9" fontId="7" fillId="0" borderId="0" xfId="2" applyFont="1" applyBorder="1"/>
    <xf numFmtId="4" fontId="5" fillId="0" borderId="0" xfId="0" applyNumberFormat="1" applyFont="1"/>
    <xf numFmtId="3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left" vertical="justify"/>
    </xf>
    <xf numFmtId="0" fontId="5" fillId="2" borderId="2" xfId="0" applyFont="1" applyFill="1" applyBorder="1" applyAlignment="1">
      <alignment horizontal="left" vertical="justify"/>
    </xf>
    <xf numFmtId="0" fontId="5" fillId="2" borderId="5" xfId="0" applyFont="1" applyFill="1" applyBorder="1" applyAlignment="1">
      <alignment horizontal="left" vertical="justify"/>
    </xf>
    <xf numFmtId="0" fontId="5" fillId="2" borderId="6" xfId="0" applyFont="1" applyFill="1" applyBorder="1" applyAlignment="1">
      <alignment horizontal="left" vertical="justify"/>
    </xf>
    <xf numFmtId="0" fontId="5" fillId="2" borderId="3" xfId="0" applyFont="1" applyFill="1" applyBorder="1" applyAlignment="1">
      <alignment horizontal="left" vertical="justify"/>
    </xf>
    <xf numFmtId="0" fontId="5" fillId="2" borderId="7" xfId="0" applyFont="1" applyFill="1" applyBorder="1" applyAlignment="1">
      <alignment horizontal="left" vertical="justify"/>
    </xf>
    <xf numFmtId="3" fontId="5" fillId="0" borderId="0" xfId="0" applyNumberFormat="1" applyFont="1" applyAlignment="1">
      <alignment horizontal="center" vertical="center"/>
    </xf>
  </cellXfs>
  <cellStyles count="9">
    <cellStyle name="Moeda 2" xfId="4"/>
    <cellStyle name="Moeda 3" xfId="7"/>
    <cellStyle name="Normal" xfId="0" builtinId="0"/>
    <cellStyle name="Normal 2" xfId="5"/>
    <cellStyle name="Normal 3" xfId="3"/>
    <cellStyle name="Porcentagem" xfId="2" builtinId="5"/>
    <cellStyle name="Porcentagem 2" xfId="6"/>
    <cellStyle name="Porcentagem 3" xfId="8"/>
    <cellStyle name="Vírgula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595632</xdr:colOff>
      <xdr:row>11</xdr:row>
      <xdr:rowOff>19050</xdr:rowOff>
    </xdr:from>
    <xdr:to>
      <xdr:col>9</xdr:col>
      <xdr:colOff>604519</xdr:colOff>
      <xdr:row>15</xdr:row>
      <xdr:rowOff>9525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7920357" y="1800225"/>
          <a:ext cx="8887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1:L55"/>
  <sheetViews>
    <sheetView showGridLines="0" tabSelected="1" zoomScaleNormal="100" workbookViewId="0"/>
  </sheetViews>
  <sheetFormatPr defaultRowHeight="12.75" x14ac:dyDescent="0.2"/>
  <cols>
    <col min="1" max="1" width="0.85546875" style="1" customWidth="1"/>
    <col min="2" max="2" width="36" style="1" bestFit="1" customWidth="1"/>
    <col min="3" max="5" width="17.7109375" style="1" customWidth="1"/>
    <col min="6" max="6" width="9.140625" style="1"/>
    <col min="7" max="7" width="1" style="1" customWidth="1"/>
    <col min="8" max="8" width="35.28515625" style="1" bestFit="1" customWidth="1"/>
    <col min="9" max="9" width="18" style="1" bestFit="1" customWidth="1"/>
    <col min="10" max="10" width="12.85546875" style="1" bestFit="1" customWidth="1"/>
    <col min="11" max="11" width="12.42578125" style="1" bestFit="1" customWidth="1"/>
    <col min="12" max="12" width="8.42578125" style="1" bestFit="1" customWidth="1"/>
    <col min="13" max="16384" width="9.140625" style="1"/>
  </cols>
  <sheetData>
    <row r="1" spans="2:12" x14ac:dyDescent="0.2">
      <c r="B1" s="30" t="s">
        <v>39</v>
      </c>
      <c r="C1" s="30"/>
      <c r="D1" s="30"/>
      <c r="E1" s="30"/>
      <c r="F1" s="30"/>
      <c r="H1" s="30" t="s">
        <v>28</v>
      </c>
      <c r="I1" s="30"/>
      <c r="J1" s="30"/>
      <c r="K1" s="30"/>
      <c r="L1" s="30"/>
    </row>
    <row r="2" spans="2:12" x14ac:dyDescent="0.2">
      <c r="B2" s="7"/>
      <c r="C2" s="28" t="s">
        <v>10</v>
      </c>
      <c r="D2" s="28"/>
      <c r="E2" s="28"/>
      <c r="F2" s="7"/>
      <c r="H2" s="7"/>
      <c r="I2" s="28" t="s">
        <v>10</v>
      </c>
      <c r="J2" s="28"/>
      <c r="K2" s="28"/>
      <c r="L2" s="7"/>
    </row>
    <row r="3" spans="2:12" x14ac:dyDescent="0.2">
      <c r="B3" s="17" t="s">
        <v>20</v>
      </c>
      <c r="C3" s="15" t="s">
        <v>11</v>
      </c>
      <c r="D3" s="15" t="s">
        <v>12</v>
      </c>
      <c r="E3" s="15" t="s">
        <v>13</v>
      </c>
      <c r="F3" s="14"/>
      <c r="H3" s="14"/>
      <c r="I3" s="15" t="s">
        <v>11</v>
      </c>
      <c r="J3" s="15" t="s">
        <v>12</v>
      </c>
      <c r="K3" s="15" t="s">
        <v>13</v>
      </c>
      <c r="L3" s="16" t="s">
        <v>18</v>
      </c>
    </row>
    <row r="4" spans="2:12" x14ac:dyDescent="0.2">
      <c r="B4" s="3" t="s">
        <v>0</v>
      </c>
      <c r="C4" s="27" t="s">
        <v>19</v>
      </c>
      <c r="D4" s="27"/>
      <c r="E4" s="27"/>
      <c r="H4" s="3" t="s">
        <v>0</v>
      </c>
      <c r="I4" s="8">
        <f t="shared" ref="I4:I17" si="0">$L4*C42</f>
        <v>3333.333333333333</v>
      </c>
      <c r="J4" s="8">
        <f t="shared" ref="J4:J17" si="1">$L4*D42</f>
        <v>1111.1111111111111</v>
      </c>
      <c r="K4" s="8">
        <f t="shared" ref="K4:K17" si="2">$L4*E42</f>
        <v>5555.5555555555557</v>
      </c>
      <c r="L4" s="9">
        <v>10000</v>
      </c>
    </row>
    <row r="5" spans="2:12" x14ac:dyDescent="0.2">
      <c r="B5" s="3" t="s">
        <v>1</v>
      </c>
      <c r="C5" s="27" t="s">
        <v>19</v>
      </c>
      <c r="D5" s="27"/>
      <c r="E5" s="27"/>
      <c r="H5" s="3" t="s">
        <v>1</v>
      </c>
      <c r="I5" s="8">
        <f t="shared" si="0"/>
        <v>1146.6640000000002</v>
      </c>
      <c r="J5" s="8">
        <f t="shared" si="1"/>
        <v>382.2213333333334</v>
      </c>
      <c r="K5" s="8">
        <f t="shared" si="2"/>
        <v>1911.106666666667</v>
      </c>
      <c r="L5" s="10">
        <f>(L4+L8+L9)*(0.2+0.058+0.03)</f>
        <v>3439.9920000000006</v>
      </c>
    </row>
    <row r="6" spans="2:12" x14ac:dyDescent="0.2">
      <c r="B6" s="3" t="s">
        <v>2</v>
      </c>
      <c r="C6" s="27" t="s">
        <v>19</v>
      </c>
      <c r="D6" s="27"/>
      <c r="E6" s="27"/>
      <c r="H6" s="3" t="s">
        <v>2</v>
      </c>
      <c r="I6" s="8">
        <f t="shared" si="0"/>
        <v>318.51777777777778</v>
      </c>
      <c r="J6" s="8">
        <f t="shared" si="1"/>
        <v>106.17259259259259</v>
      </c>
      <c r="K6" s="8">
        <f t="shared" si="2"/>
        <v>530.86296296296302</v>
      </c>
      <c r="L6" s="10">
        <f>(L4+L8+L9)*0.08</f>
        <v>955.5533333333334</v>
      </c>
    </row>
    <row r="7" spans="2:12" x14ac:dyDescent="0.2">
      <c r="B7" s="3" t="s">
        <v>3</v>
      </c>
      <c r="C7" s="27" t="s">
        <v>19</v>
      </c>
      <c r="D7" s="27"/>
      <c r="E7" s="27"/>
      <c r="H7" s="3" t="s">
        <v>3</v>
      </c>
      <c r="I7" s="8">
        <f t="shared" si="0"/>
        <v>936</v>
      </c>
      <c r="J7" s="8">
        <f t="shared" si="1"/>
        <v>312</v>
      </c>
      <c r="K7" s="8">
        <f t="shared" si="2"/>
        <v>1560</v>
      </c>
      <c r="L7" s="10">
        <f>F23*2*20*2.6</f>
        <v>2808</v>
      </c>
    </row>
    <row r="8" spans="2:12" x14ac:dyDescent="0.2">
      <c r="B8" s="3" t="s">
        <v>4</v>
      </c>
      <c r="C8" s="27" t="s">
        <v>19</v>
      </c>
      <c r="D8" s="27"/>
      <c r="E8" s="27"/>
      <c r="H8" s="3" t="s">
        <v>4</v>
      </c>
      <c r="I8" s="8">
        <f t="shared" si="0"/>
        <v>277.77777777777777</v>
      </c>
      <c r="J8" s="8">
        <f t="shared" si="1"/>
        <v>92.592592592592595</v>
      </c>
      <c r="K8" s="8">
        <f t="shared" si="2"/>
        <v>462.96296296296299</v>
      </c>
      <c r="L8" s="10">
        <f>L4/12</f>
        <v>833.33333333333337</v>
      </c>
    </row>
    <row r="9" spans="2:12" x14ac:dyDescent="0.2">
      <c r="B9" s="3" t="s">
        <v>5</v>
      </c>
      <c r="C9" s="27" t="s">
        <v>19</v>
      </c>
      <c r="D9" s="27"/>
      <c r="E9" s="27"/>
      <c r="H9" s="3" t="s">
        <v>5</v>
      </c>
      <c r="I9" s="8">
        <f t="shared" si="0"/>
        <v>370.36111111111109</v>
      </c>
      <c r="J9" s="8">
        <f t="shared" si="1"/>
        <v>123.4537037037037</v>
      </c>
      <c r="K9" s="8">
        <f t="shared" si="2"/>
        <v>617.26851851851848</v>
      </c>
      <c r="L9" s="11">
        <f>L4/12*1.3333</f>
        <v>1111.0833333333333</v>
      </c>
    </row>
    <row r="10" spans="2:12" x14ac:dyDescent="0.2">
      <c r="B10" s="3" t="s">
        <v>6</v>
      </c>
      <c r="C10" s="27" t="s">
        <v>19</v>
      </c>
      <c r="D10" s="27"/>
      <c r="E10" s="27"/>
      <c r="H10" s="3" t="s">
        <v>6</v>
      </c>
      <c r="I10" s="8">
        <f t="shared" si="0"/>
        <v>333.33333333333331</v>
      </c>
      <c r="J10" s="8">
        <f t="shared" si="1"/>
        <v>111.1111111111111</v>
      </c>
      <c r="K10" s="8">
        <f t="shared" si="2"/>
        <v>555.55555555555554</v>
      </c>
      <c r="L10" s="11">
        <v>1000</v>
      </c>
    </row>
    <row r="11" spans="2:12" x14ac:dyDescent="0.2">
      <c r="B11" s="3" t="s">
        <v>7</v>
      </c>
      <c r="C11" s="27" t="s">
        <v>19</v>
      </c>
      <c r="D11" s="27"/>
      <c r="E11" s="27"/>
      <c r="H11" s="3" t="s">
        <v>7</v>
      </c>
      <c r="I11" s="8">
        <f t="shared" si="0"/>
        <v>1800</v>
      </c>
      <c r="J11" s="8">
        <f t="shared" si="1"/>
        <v>600</v>
      </c>
      <c r="K11" s="8">
        <f t="shared" si="2"/>
        <v>3000</v>
      </c>
      <c r="L11" s="11">
        <f>F23*1*20*10</f>
        <v>5400</v>
      </c>
    </row>
    <row r="12" spans="2:12" x14ac:dyDescent="0.2">
      <c r="B12" s="3" t="s">
        <v>8</v>
      </c>
      <c r="C12" s="27" t="s">
        <v>21</v>
      </c>
      <c r="D12" s="27"/>
      <c r="E12" s="27"/>
      <c r="H12" s="3" t="s">
        <v>8</v>
      </c>
      <c r="I12" s="8">
        <f t="shared" si="0"/>
        <v>714.28571428571422</v>
      </c>
      <c r="J12" s="8">
        <f t="shared" si="1"/>
        <v>357.14285714285711</v>
      </c>
      <c r="K12" s="8">
        <f t="shared" si="2"/>
        <v>1428.5714285714284</v>
      </c>
      <c r="L12" s="1">
        <v>2500</v>
      </c>
    </row>
    <row r="13" spans="2:12" x14ac:dyDescent="0.2">
      <c r="B13" s="3" t="s">
        <v>14</v>
      </c>
      <c r="C13" s="27" t="s">
        <v>22</v>
      </c>
      <c r="D13" s="27"/>
      <c r="E13" s="27"/>
      <c r="H13" s="3" t="s">
        <v>14</v>
      </c>
      <c r="I13" s="8">
        <f t="shared" si="0"/>
        <v>1200</v>
      </c>
      <c r="J13" s="8">
        <f t="shared" si="1"/>
        <v>0</v>
      </c>
      <c r="K13" s="8">
        <f t="shared" si="2"/>
        <v>0</v>
      </c>
      <c r="L13" s="1">
        <v>1200</v>
      </c>
    </row>
    <row r="14" spans="2:12" x14ac:dyDescent="0.2">
      <c r="B14" s="3" t="s">
        <v>9</v>
      </c>
      <c r="C14" s="27" t="s">
        <v>23</v>
      </c>
      <c r="D14" s="27"/>
      <c r="E14" s="27"/>
      <c r="H14" s="3" t="s">
        <v>9</v>
      </c>
      <c r="I14" s="8">
        <f t="shared" si="0"/>
        <v>1500</v>
      </c>
      <c r="J14" s="8">
        <f t="shared" si="1"/>
        <v>0</v>
      </c>
      <c r="K14" s="8">
        <f t="shared" si="2"/>
        <v>0</v>
      </c>
      <c r="L14" s="1">
        <v>1500</v>
      </c>
    </row>
    <row r="15" spans="2:12" x14ac:dyDescent="0.2">
      <c r="B15" s="3" t="s">
        <v>15</v>
      </c>
      <c r="C15" s="27" t="s">
        <v>24</v>
      </c>
      <c r="D15" s="27"/>
      <c r="E15" s="27"/>
      <c r="H15" s="3" t="s">
        <v>15</v>
      </c>
      <c r="I15" s="8">
        <f t="shared" si="0"/>
        <v>125</v>
      </c>
      <c r="J15" s="8">
        <f t="shared" si="1"/>
        <v>125</v>
      </c>
      <c r="K15" s="8">
        <f t="shared" si="2"/>
        <v>0</v>
      </c>
      <c r="L15" s="1">
        <v>250</v>
      </c>
    </row>
    <row r="16" spans="2:12" x14ac:dyDescent="0.2">
      <c r="B16" s="3" t="s">
        <v>16</v>
      </c>
      <c r="C16" s="27" t="s">
        <v>24</v>
      </c>
      <c r="D16" s="27"/>
      <c r="E16" s="27"/>
      <c r="H16" s="3" t="s">
        <v>16</v>
      </c>
      <c r="I16" s="8">
        <f t="shared" si="0"/>
        <v>60</v>
      </c>
      <c r="J16" s="8">
        <f t="shared" si="1"/>
        <v>60</v>
      </c>
      <c r="K16" s="8">
        <f t="shared" si="2"/>
        <v>0</v>
      </c>
      <c r="L16" s="1">
        <v>120</v>
      </c>
    </row>
    <row r="17" spans="2:12" x14ac:dyDescent="0.2">
      <c r="B17" s="3" t="s">
        <v>17</v>
      </c>
      <c r="C17" s="27" t="s">
        <v>24</v>
      </c>
      <c r="D17" s="27"/>
      <c r="E17" s="27"/>
      <c r="H17" s="3" t="s">
        <v>17</v>
      </c>
      <c r="I17" s="8">
        <f t="shared" si="0"/>
        <v>45</v>
      </c>
      <c r="J17" s="8">
        <f t="shared" si="1"/>
        <v>45</v>
      </c>
      <c r="K17" s="8">
        <f t="shared" si="2"/>
        <v>0</v>
      </c>
      <c r="L17" s="1">
        <v>90</v>
      </c>
    </row>
    <row r="18" spans="2:12" ht="13.5" thickBot="1" x14ac:dyDescent="0.25">
      <c r="H18" s="12" t="s">
        <v>25</v>
      </c>
      <c r="I18" s="13">
        <f>SUM(I4:I17)</f>
        <v>12160.273047619046</v>
      </c>
      <c r="J18" s="13">
        <f t="shared" ref="J18:L18" si="3">SUM(J4:J17)</f>
        <v>3425.805301587302</v>
      </c>
      <c r="K18" s="13">
        <f t="shared" si="3"/>
        <v>15621.88365079365</v>
      </c>
      <c r="L18" s="13">
        <f t="shared" si="3"/>
        <v>31207.962</v>
      </c>
    </row>
    <row r="19" spans="2:12" ht="13.5" thickTop="1" x14ac:dyDescent="0.2">
      <c r="H19" s="2"/>
      <c r="I19" s="21"/>
      <c r="J19" s="21"/>
      <c r="K19" s="21"/>
      <c r="L19" s="21"/>
    </row>
    <row r="20" spans="2:12" x14ac:dyDescent="0.2">
      <c r="B20" s="29" t="s">
        <v>26</v>
      </c>
      <c r="C20" s="29"/>
      <c r="D20" s="29"/>
      <c r="E20" s="29"/>
      <c r="F20" s="29"/>
      <c r="H20" s="30" t="s">
        <v>29</v>
      </c>
      <c r="I20" s="30"/>
      <c r="J20" s="30"/>
      <c r="K20" s="30"/>
      <c r="L20" s="30"/>
    </row>
    <row r="21" spans="2:12" x14ac:dyDescent="0.2">
      <c r="B21" s="7"/>
      <c r="C21" s="28" t="s">
        <v>10</v>
      </c>
      <c r="D21" s="28"/>
      <c r="E21" s="28"/>
      <c r="F21" s="7"/>
      <c r="H21" s="7"/>
      <c r="I21" s="28" t="s">
        <v>10</v>
      </c>
      <c r="J21" s="28"/>
      <c r="K21" s="28"/>
      <c r="L21" s="7"/>
    </row>
    <row r="22" spans="2:12" x14ac:dyDescent="0.2">
      <c r="B22" s="17" t="s">
        <v>20</v>
      </c>
      <c r="C22" s="15" t="s">
        <v>11</v>
      </c>
      <c r="D22" s="15" t="s">
        <v>12</v>
      </c>
      <c r="E22" s="15" t="s">
        <v>13</v>
      </c>
      <c r="F22" s="17" t="s">
        <v>18</v>
      </c>
      <c r="H22" s="14"/>
      <c r="I22" s="15" t="s">
        <v>11</v>
      </c>
      <c r="J22" s="15" t="s">
        <v>12</v>
      </c>
      <c r="K22" s="15" t="s">
        <v>13</v>
      </c>
      <c r="L22" s="16"/>
    </row>
    <row r="23" spans="2:12" x14ac:dyDescent="0.2">
      <c r="B23" s="3" t="s">
        <v>0</v>
      </c>
      <c r="C23" s="5">
        <v>9</v>
      </c>
      <c r="D23" s="5">
        <v>3</v>
      </c>
      <c r="E23" s="5">
        <v>15</v>
      </c>
      <c r="F23" s="5">
        <f>SUM(C23:E23)</f>
        <v>27</v>
      </c>
      <c r="H23" s="4" t="s">
        <v>30</v>
      </c>
      <c r="I23" s="4"/>
      <c r="J23" s="4"/>
      <c r="K23" s="19">
        <f>SUM(K24:K27)</f>
        <v>120000</v>
      </c>
    </row>
    <row r="24" spans="2:12" x14ac:dyDescent="0.2">
      <c r="B24" s="3" t="s">
        <v>1</v>
      </c>
      <c r="C24" s="5">
        <v>9</v>
      </c>
      <c r="D24" s="5">
        <v>3</v>
      </c>
      <c r="E24" s="5">
        <v>15</v>
      </c>
      <c r="F24" s="5">
        <f t="shared" ref="F24:F31" si="4">SUM(C24:E24)</f>
        <v>27</v>
      </c>
      <c r="H24" s="18" t="s">
        <v>31</v>
      </c>
      <c r="K24" s="8">
        <v>50000</v>
      </c>
    </row>
    <row r="25" spans="2:12" x14ac:dyDescent="0.2">
      <c r="B25" s="3" t="s">
        <v>2</v>
      </c>
      <c r="C25" s="5">
        <v>9</v>
      </c>
      <c r="D25" s="5">
        <v>3</v>
      </c>
      <c r="E25" s="5">
        <v>15</v>
      </c>
      <c r="F25" s="5">
        <f t="shared" si="4"/>
        <v>27</v>
      </c>
      <c r="H25" s="18" t="s">
        <v>32</v>
      </c>
      <c r="K25" s="8">
        <v>40000</v>
      </c>
    </row>
    <row r="26" spans="2:12" x14ac:dyDescent="0.2">
      <c r="B26" s="3" t="s">
        <v>3</v>
      </c>
      <c r="C26" s="5">
        <v>9</v>
      </c>
      <c r="D26" s="5">
        <v>3</v>
      </c>
      <c r="E26" s="5">
        <v>15</v>
      </c>
      <c r="F26" s="5">
        <f t="shared" si="4"/>
        <v>27</v>
      </c>
      <c r="H26" s="18" t="s">
        <v>33</v>
      </c>
      <c r="K26" s="8">
        <v>20000</v>
      </c>
    </row>
    <row r="27" spans="2:12" x14ac:dyDescent="0.2">
      <c r="B27" s="3" t="s">
        <v>4</v>
      </c>
      <c r="C27" s="5">
        <v>9</v>
      </c>
      <c r="D27" s="5">
        <v>3</v>
      </c>
      <c r="E27" s="5">
        <v>15</v>
      </c>
      <c r="F27" s="5">
        <f t="shared" si="4"/>
        <v>27</v>
      </c>
      <c r="H27" s="18" t="s">
        <v>34</v>
      </c>
      <c r="K27" s="8">
        <v>10000</v>
      </c>
    </row>
    <row r="28" spans="2:12" x14ac:dyDescent="0.2">
      <c r="B28" s="3" t="s">
        <v>5</v>
      </c>
      <c r="C28" s="5">
        <v>9</v>
      </c>
      <c r="D28" s="5">
        <v>3</v>
      </c>
      <c r="E28" s="5">
        <v>15</v>
      </c>
      <c r="F28" s="5">
        <f t="shared" si="4"/>
        <v>27</v>
      </c>
      <c r="H28" s="4" t="s">
        <v>35</v>
      </c>
      <c r="K28" s="19">
        <f>K18</f>
        <v>15621.88365079365</v>
      </c>
    </row>
    <row r="29" spans="2:12" x14ac:dyDescent="0.2">
      <c r="B29" s="3" t="s">
        <v>6</v>
      </c>
      <c r="C29" s="5">
        <v>9</v>
      </c>
      <c r="D29" s="5">
        <v>3</v>
      </c>
      <c r="E29" s="5">
        <v>15</v>
      </c>
      <c r="F29" s="5">
        <f t="shared" si="4"/>
        <v>27</v>
      </c>
    </row>
    <row r="30" spans="2:12" x14ac:dyDescent="0.2">
      <c r="B30" s="3" t="s">
        <v>7</v>
      </c>
      <c r="C30" s="5">
        <v>9</v>
      </c>
      <c r="D30" s="5">
        <v>3</v>
      </c>
      <c r="E30" s="5">
        <v>15</v>
      </c>
      <c r="F30" s="5">
        <f t="shared" si="4"/>
        <v>27</v>
      </c>
      <c r="H30" s="4" t="s">
        <v>36</v>
      </c>
      <c r="K30" s="19">
        <f>K23+K28</f>
        <v>135621.88365079364</v>
      </c>
    </row>
    <row r="31" spans="2:12" x14ac:dyDescent="0.2">
      <c r="B31" s="3" t="s">
        <v>8</v>
      </c>
      <c r="C31" s="5">
        <v>100</v>
      </c>
      <c r="D31" s="5">
        <v>50</v>
      </c>
      <c r="E31" s="5">
        <v>200</v>
      </c>
      <c r="F31" s="5">
        <f t="shared" si="4"/>
        <v>350</v>
      </c>
    </row>
    <row r="32" spans="2:12" x14ac:dyDescent="0.2">
      <c r="B32" s="3" t="s">
        <v>14</v>
      </c>
      <c r="C32" s="5">
        <v>1</v>
      </c>
      <c r="D32" s="5">
        <v>0</v>
      </c>
      <c r="E32" s="5">
        <v>0</v>
      </c>
      <c r="F32" s="5">
        <f>SUM(C32:E32)</f>
        <v>1</v>
      </c>
      <c r="H32" s="4" t="s">
        <v>37</v>
      </c>
      <c r="I32" s="4"/>
      <c r="J32" s="4"/>
      <c r="K32" s="19">
        <v>10000</v>
      </c>
    </row>
    <row r="33" spans="2:11" x14ac:dyDescent="0.2">
      <c r="B33" s="3" t="s">
        <v>9</v>
      </c>
      <c r="C33" s="5">
        <v>1</v>
      </c>
      <c r="D33" s="5">
        <v>0</v>
      </c>
      <c r="E33" s="5">
        <v>0</v>
      </c>
      <c r="F33" s="5">
        <f>SUM(C33:E33)</f>
        <v>1</v>
      </c>
    </row>
    <row r="34" spans="2:11" x14ac:dyDescent="0.2">
      <c r="B34" s="3" t="s">
        <v>15</v>
      </c>
      <c r="C34" s="5">
        <v>1</v>
      </c>
      <c r="D34" s="5">
        <v>1</v>
      </c>
      <c r="E34" s="5">
        <v>0</v>
      </c>
      <c r="F34" s="5">
        <f>SUM(C34:E34)</f>
        <v>2</v>
      </c>
      <c r="H34" s="4" t="s">
        <v>38</v>
      </c>
      <c r="I34" s="4"/>
      <c r="J34" s="4"/>
      <c r="K34" s="20">
        <f>K30/K32</f>
        <v>13.562188365079363</v>
      </c>
    </row>
    <row r="35" spans="2:11" x14ac:dyDescent="0.2">
      <c r="B35" s="3" t="s">
        <v>16</v>
      </c>
      <c r="C35" s="5">
        <v>1</v>
      </c>
      <c r="D35" s="5">
        <v>1</v>
      </c>
      <c r="E35" s="5">
        <v>0</v>
      </c>
      <c r="F35" s="5">
        <f>SUM(C35:E35)</f>
        <v>2</v>
      </c>
    </row>
    <row r="36" spans="2:11" x14ac:dyDescent="0.2">
      <c r="B36" s="3" t="s">
        <v>17</v>
      </c>
      <c r="C36" s="5">
        <v>1</v>
      </c>
      <c r="D36" s="5">
        <v>1</v>
      </c>
      <c r="E36" s="5">
        <v>0</v>
      </c>
      <c r="F36" s="5">
        <f>SUM(C36:E36)</f>
        <v>2</v>
      </c>
    </row>
    <row r="39" spans="2:11" x14ac:dyDescent="0.2">
      <c r="B39" s="29" t="s">
        <v>27</v>
      </c>
      <c r="C39" s="29"/>
      <c r="D39" s="29"/>
      <c r="E39" s="29"/>
      <c r="F39" s="29"/>
    </row>
    <row r="40" spans="2:11" x14ac:dyDescent="0.2">
      <c r="B40" s="7"/>
      <c r="C40" s="28" t="s">
        <v>10</v>
      </c>
      <c r="D40" s="28"/>
      <c r="E40" s="28"/>
      <c r="F40" s="7"/>
    </row>
    <row r="41" spans="2:11" x14ac:dyDescent="0.2">
      <c r="B41" s="17" t="s">
        <v>20</v>
      </c>
      <c r="C41" s="15" t="s">
        <v>11</v>
      </c>
      <c r="D41" s="15" t="s">
        <v>12</v>
      </c>
      <c r="E41" s="15" t="s">
        <v>13</v>
      </c>
      <c r="F41" s="17" t="s">
        <v>18</v>
      </c>
    </row>
    <row r="42" spans="2:11" x14ac:dyDescent="0.2">
      <c r="B42" s="3" t="s">
        <v>0</v>
      </c>
      <c r="C42" s="6">
        <f>C23/$F23</f>
        <v>0.33333333333333331</v>
      </c>
      <c r="D42" s="6">
        <f t="shared" ref="D42:F42" si="5">D23/$F23</f>
        <v>0.1111111111111111</v>
      </c>
      <c r="E42" s="6">
        <f t="shared" si="5"/>
        <v>0.55555555555555558</v>
      </c>
      <c r="F42" s="6">
        <f t="shared" si="5"/>
        <v>1</v>
      </c>
    </row>
    <row r="43" spans="2:11" x14ac:dyDescent="0.2">
      <c r="B43" s="3" t="s">
        <v>1</v>
      </c>
      <c r="C43" s="6">
        <f t="shared" ref="C43:F43" si="6">C24/$F24</f>
        <v>0.33333333333333331</v>
      </c>
      <c r="D43" s="6">
        <f t="shared" si="6"/>
        <v>0.1111111111111111</v>
      </c>
      <c r="E43" s="6">
        <f t="shared" si="6"/>
        <v>0.55555555555555558</v>
      </c>
      <c r="F43" s="6">
        <f t="shared" si="6"/>
        <v>1</v>
      </c>
    </row>
    <row r="44" spans="2:11" x14ac:dyDescent="0.2">
      <c r="B44" s="3" t="s">
        <v>2</v>
      </c>
      <c r="C44" s="6">
        <f t="shared" ref="C44:F44" si="7">C25/$F25</f>
        <v>0.33333333333333331</v>
      </c>
      <c r="D44" s="6">
        <f t="shared" si="7"/>
        <v>0.1111111111111111</v>
      </c>
      <c r="E44" s="6">
        <f t="shared" si="7"/>
        <v>0.55555555555555558</v>
      </c>
      <c r="F44" s="6">
        <f t="shared" si="7"/>
        <v>1</v>
      </c>
    </row>
    <row r="45" spans="2:11" x14ac:dyDescent="0.2">
      <c r="B45" s="3" t="s">
        <v>3</v>
      </c>
      <c r="C45" s="6">
        <f t="shared" ref="C45:F45" si="8">C26/$F26</f>
        <v>0.33333333333333331</v>
      </c>
      <c r="D45" s="6">
        <f t="shared" si="8"/>
        <v>0.1111111111111111</v>
      </c>
      <c r="E45" s="6">
        <f t="shared" si="8"/>
        <v>0.55555555555555558</v>
      </c>
      <c r="F45" s="6">
        <f t="shared" si="8"/>
        <v>1</v>
      </c>
    </row>
    <row r="46" spans="2:11" x14ac:dyDescent="0.2">
      <c r="B46" s="3" t="s">
        <v>4</v>
      </c>
      <c r="C46" s="6">
        <f t="shared" ref="C46:F46" si="9">C27/$F27</f>
        <v>0.33333333333333331</v>
      </c>
      <c r="D46" s="6">
        <f t="shared" si="9"/>
        <v>0.1111111111111111</v>
      </c>
      <c r="E46" s="6">
        <f t="shared" si="9"/>
        <v>0.55555555555555558</v>
      </c>
      <c r="F46" s="6">
        <f t="shared" si="9"/>
        <v>1</v>
      </c>
    </row>
    <row r="47" spans="2:11" x14ac:dyDescent="0.2">
      <c r="B47" s="3" t="s">
        <v>5</v>
      </c>
      <c r="C47" s="6">
        <f t="shared" ref="C47:F47" si="10">C28/$F28</f>
        <v>0.33333333333333331</v>
      </c>
      <c r="D47" s="6">
        <f t="shared" si="10"/>
        <v>0.1111111111111111</v>
      </c>
      <c r="E47" s="6">
        <f t="shared" si="10"/>
        <v>0.55555555555555558</v>
      </c>
      <c r="F47" s="6">
        <f t="shared" si="10"/>
        <v>1</v>
      </c>
    </row>
    <row r="48" spans="2:11" x14ac:dyDescent="0.2">
      <c r="B48" s="3" t="s">
        <v>6</v>
      </c>
      <c r="C48" s="6">
        <f t="shared" ref="C48:F48" si="11">C29/$F29</f>
        <v>0.33333333333333331</v>
      </c>
      <c r="D48" s="6">
        <f t="shared" si="11"/>
        <v>0.1111111111111111</v>
      </c>
      <c r="E48" s="6">
        <f t="shared" si="11"/>
        <v>0.55555555555555558</v>
      </c>
      <c r="F48" s="6">
        <f t="shared" si="11"/>
        <v>1</v>
      </c>
    </row>
    <row r="49" spans="2:6" x14ac:dyDescent="0.2">
      <c r="B49" s="3" t="s">
        <v>7</v>
      </c>
      <c r="C49" s="6">
        <f t="shared" ref="C49:F49" si="12">C30/$F30</f>
        <v>0.33333333333333331</v>
      </c>
      <c r="D49" s="6">
        <f t="shared" si="12"/>
        <v>0.1111111111111111</v>
      </c>
      <c r="E49" s="6">
        <f t="shared" si="12"/>
        <v>0.55555555555555558</v>
      </c>
      <c r="F49" s="6">
        <f t="shared" si="12"/>
        <v>1</v>
      </c>
    </row>
    <row r="50" spans="2:6" x14ac:dyDescent="0.2">
      <c r="B50" s="3" t="s">
        <v>8</v>
      </c>
      <c r="C50" s="6">
        <f t="shared" ref="C50:F50" si="13">C31/$F31</f>
        <v>0.2857142857142857</v>
      </c>
      <c r="D50" s="6">
        <f t="shared" si="13"/>
        <v>0.14285714285714285</v>
      </c>
      <c r="E50" s="6">
        <f t="shared" si="13"/>
        <v>0.5714285714285714</v>
      </c>
      <c r="F50" s="6">
        <f t="shared" si="13"/>
        <v>1</v>
      </c>
    </row>
    <row r="51" spans="2:6" x14ac:dyDescent="0.2">
      <c r="B51" s="3" t="s">
        <v>14</v>
      </c>
      <c r="C51" s="6">
        <f t="shared" ref="C51:F51" si="14">C32/$F32</f>
        <v>1</v>
      </c>
      <c r="D51" s="6">
        <f t="shared" si="14"/>
        <v>0</v>
      </c>
      <c r="E51" s="6">
        <f t="shared" si="14"/>
        <v>0</v>
      </c>
      <c r="F51" s="6">
        <f t="shared" si="14"/>
        <v>1</v>
      </c>
    </row>
    <row r="52" spans="2:6" x14ac:dyDescent="0.2">
      <c r="B52" s="3" t="s">
        <v>9</v>
      </c>
      <c r="C52" s="6">
        <f t="shared" ref="C52:F52" si="15">C33/$F33</f>
        <v>1</v>
      </c>
      <c r="D52" s="6">
        <f t="shared" si="15"/>
        <v>0</v>
      </c>
      <c r="E52" s="6">
        <f t="shared" si="15"/>
        <v>0</v>
      </c>
      <c r="F52" s="6">
        <f t="shared" si="15"/>
        <v>1</v>
      </c>
    </row>
    <row r="53" spans="2:6" x14ac:dyDescent="0.2">
      <c r="B53" s="3" t="s">
        <v>15</v>
      </c>
      <c r="C53" s="6">
        <f t="shared" ref="C53:F53" si="16">C34/$F34</f>
        <v>0.5</v>
      </c>
      <c r="D53" s="6">
        <f t="shared" si="16"/>
        <v>0.5</v>
      </c>
      <c r="E53" s="6">
        <f t="shared" si="16"/>
        <v>0</v>
      </c>
      <c r="F53" s="6">
        <f t="shared" si="16"/>
        <v>1</v>
      </c>
    </row>
    <row r="54" spans="2:6" x14ac:dyDescent="0.2">
      <c r="B54" s="3" t="s">
        <v>16</v>
      </c>
      <c r="C54" s="6">
        <f t="shared" ref="C54:F54" si="17">C35/$F35</f>
        <v>0.5</v>
      </c>
      <c r="D54" s="6">
        <f t="shared" si="17"/>
        <v>0.5</v>
      </c>
      <c r="E54" s="6">
        <f t="shared" si="17"/>
        <v>0</v>
      </c>
      <c r="F54" s="6">
        <f t="shared" si="17"/>
        <v>1</v>
      </c>
    </row>
    <row r="55" spans="2:6" x14ac:dyDescent="0.2">
      <c r="B55" s="3" t="s">
        <v>17</v>
      </c>
      <c r="C55" s="6">
        <f t="shared" ref="C55:F55" si="18">C36/$F36</f>
        <v>0.5</v>
      </c>
      <c r="D55" s="6">
        <f t="shared" si="18"/>
        <v>0.5</v>
      </c>
      <c r="E55" s="6">
        <f t="shared" si="18"/>
        <v>0</v>
      </c>
      <c r="F55" s="6">
        <f t="shared" si="18"/>
        <v>1</v>
      </c>
    </row>
  </sheetData>
  <mergeCells count="24">
    <mergeCell ref="I21:K21"/>
    <mergeCell ref="C40:E40"/>
    <mergeCell ref="B20:F20"/>
    <mergeCell ref="B1:F1"/>
    <mergeCell ref="B39:F39"/>
    <mergeCell ref="H1:L1"/>
    <mergeCell ref="H20:L20"/>
    <mergeCell ref="C21:E21"/>
    <mergeCell ref="C11:E11"/>
    <mergeCell ref="C13:E13"/>
    <mergeCell ref="C14:E14"/>
    <mergeCell ref="C15:E15"/>
    <mergeCell ref="C16:E16"/>
    <mergeCell ref="C17:E17"/>
    <mergeCell ref="I2:K2"/>
    <mergeCell ref="C2:E2"/>
    <mergeCell ref="C4:E4"/>
    <mergeCell ref="C12:E12"/>
    <mergeCell ref="C5:E5"/>
    <mergeCell ref="C6:E6"/>
    <mergeCell ref="C7:E7"/>
    <mergeCell ref="C8:E8"/>
    <mergeCell ref="C9:E9"/>
    <mergeCell ref="C10:E10"/>
  </mergeCells>
  <pageMargins left="0.511811024" right="0.511811024" top="0.78740157499999996" bottom="0.78740157499999996" header="0.31496062000000002" footer="0.31496062000000002"/>
  <pageSetup scale="6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1:F33"/>
  <sheetViews>
    <sheetView showGridLines="0" topLeftCell="A8" workbookViewId="0">
      <selection activeCell="B27" sqref="B27"/>
    </sheetView>
  </sheetViews>
  <sheetFormatPr defaultRowHeight="12.75" x14ac:dyDescent="0.2"/>
  <cols>
    <col min="1" max="1" width="0.85546875" style="1" customWidth="1"/>
    <col min="2" max="2" width="35.28515625" style="1" bestFit="1" customWidth="1"/>
    <col min="3" max="3" width="18" style="1" bestFit="1" customWidth="1"/>
    <col min="4" max="4" width="12.85546875" style="1" bestFit="1" customWidth="1"/>
    <col min="5" max="5" width="12.42578125" style="1" bestFit="1" customWidth="1"/>
    <col min="6" max="6" width="8.42578125" style="1" bestFit="1" customWidth="1"/>
    <col min="7" max="16384" width="9.140625" style="1"/>
  </cols>
  <sheetData>
    <row r="1" spans="2:6" x14ac:dyDescent="0.2">
      <c r="B1" s="30" t="s">
        <v>40</v>
      </c>
      <c r="C1" s="30"/>
      <c r="D1" s="30"/>
      <c r="E1" s="30"/>
      <c r="F1" s="30"/>
    </row>
    <row r="2" spans="2:6" x14ac:dyDescent="0.2">
      <c r="B2" s="7"/>
      <c r="C2" s="28" t="s">
        <v>10</v>
      </c>
      <c r="D2" s="28"/>
      <c r="E2" s="28"/>
      <c r="F2" s="7"/>
    </row>
    <row r="3" spans="2:6" x14ac:dyDescent="0.2">
      <c r="B3" s="14"/>
      <c r="C3" s="15" t="s">
        <v>11</v>
      </c>
      <c r="D3" s="15" t="s">
        <v>12</v>
      </c>
      <c r="E3" s="15" t="s">
        <v>13</v>
      </c>
      <c r="F3" s="16" t="s">
        <v>18</v>
      </c>
    </row>
    <row r="4" spans="2:6" x14ac:dyDescent="0.2">
      <c r="B4" s="3" t="s">
        <v>0</v>
      </c>
      <c r="C4" s="8"/>
      <c r="D4" s="8"/>
      <c r="E4" s="8"/>
      <c r="F4" s="9">
        <v>10000</v>
      </c>
    </row>
    <row r="5" spans="2:6" x14ac:dyDescent="0.2">
      <c r="B5" s="3" t="s">
        <v>1</v>
      </c>
      <c r="C5" s="8"/>
      <c r="D5" s="8"/>
      <c r="E5" s="8"/>
      <c r="F5" s="10">
        <f>(F4+F8+F9)*(0.2+0.058+0.03)</f>
        <v>3439.9920000000006</v>
      </c>
    </row>
    <row r="6" spans="2:6" x14ac:dyDescent="0.2">
      <c r="B6" s="3" t="s">
        <v>2</v>
      </c>
      <c r="C6" s="8"/>
      <c r="D6" s="8"/>
      <c r="E6" s="8"/>
      <c r="F6" s="10">
        <f>(F4+F8+F9)*0.08</f>
        <v>955.5533333333334</v>
      </c>
    </row>
    <row r="7" spans="2:6" x14ac:dyDescent="0.2">
      <c r="B7" s="3" t="s">
        <v>3</v>
      </c>
      <c r="C7" s="8"/>
      <c r="D7" s="8"/>
      <c r="E7" s="8"/>
      <c r="F7" s="10">
        <f>27*2*20*2.6</f>
        <v>2808</v>
      </c>
    </row>
    <row r="8" spans="2:6" x14ac:dyDescent="0.2">
      <c r="B8" s="3" t="s">
        <v>4</v>
      </c>
      <c r="C8" s="8"/>
      <c r="D8" s="8"/>
      <c r="E8" s="8"/>
      <c r="F8" s="10">
        <f>F4/12</f>
        <v>833.33333333333337</v>
      </c>
    </row>
    <row r="9" spans="2:6" x14ac:dyDescent="0.2">
      <c r="B9" s="3" t="s">
        <v>5</v>
      </c>
      <c r="C9" s="8"/>
      <c r="D9" s="8"/>
      <c r="E9" s="8"/>
      <c r="F9" s="11">
        <f>F4/12*1.3333</f>
        <v>1111.0833333333333</v>
      </c>
    </row>
    <row r="10" spans="2:6" x14ac:dyDescent="0.2">
      <c r="B10" s="3" t="s">
        <v>6</v>
      </c>
      <c r="C10" s="8"/>
      <c r="D10" s="8"/>
      <c r="E10" s="8"/>
      <c r="F10" s="11">
        <v>1000</v>
      </c>
    </row>
    <row r="11" spans="2:6" x14ac:dyDescent="0.2">
      <c r="B11" s="3" t="s">
        <v>7</v>
      </c>
      <c r="C11" s="8"/>
      <c r="D11" s="8"/>
      <c r="E11" s="8"/>
      <c r="F11" s="11">
        <f>27*1*20*10</f>
        <v>5400</v>
      </c>
    </row>
    <row r="12" spans="2:6" x14ac:dyDescent="0.2">
      <c r="B12" s="3" t="s">
        <v>8</v>
      </c>
      <c r="C12" s="8"/>
      <c r="D12" s="8"/>
      <c r="E12" s="8"/>
      <c r="F12" s="1">
        <v>2500</v>
      </c>
    </row>
    <row r="13" spans="2:6" x14ac:dyDescent="0.2">
      <c r="B13" s="3" t="s">
        <v>14</v>
      </c>
      <c r="C13" s="8"/>
      <c r="D13" s="8"/>
      <c r="E13" s="8"/>
      <c r="F13" s="1">
        <v>1200</v>
      </c>
    </row>
    <row r="14" spans="2:6" x14ac:dyDescent="0.2">
      <c r="B14" s="3" t="s">
        <v>9</v>
      </c>
      <c r="C14" s="8"/>
      <c r="D14" s="8"/>
      <c r="E14" s="8"/>
      <c r="F14" s="1">
        <v>1500</v>
      </c>
    </row>
    <row r="15" spans="2:6" x14ac:dyDescent="0.2">
      <c r="B15" s="3" t="s">
        <v>15</v>
      </c>
      <c r="C15" s="8"/>
      <c r="D15" s="8"/>
      <c r="E15" s="8"/>
      <c r="F15" s="1">
        <v>250</v>
      </c>
    </row>
    <row r="16" spans="2:6" x14ac:dyDescent="0.2">
      <c r="B16" s="3" t="s">
        <v>16</v>
      </c>
      <c r="C16" s="8"/>
      <c r="D16" s="8"/>
      <c r="E16" s="8"/>
      <c r="F16" s="1">
        <v>120</v>
      </c>
    </row>
    <row r="17" spans="2:6" x14ac:dyDescent="0.2">
      <c r="B17" s="3" t="s">
        <v>17</v>
      </c>
      <c r="C17" s="8"/>
      <c r="D17" s="8"/>
      <c r="E17" s="8"/>
      <c r="F17" s="1">
        <v>90</v>
      </c>
    </row>
    <row r="18" spans="2:6" ht="13.5" thickBot="1" x14ac:dyDescent="0.25">
      <c r="B18" s="12" t="s">
        <v>25</v>
      </c>
      <c r="C18" s="13"/>
      <c r="D18" s="13"/>
      <c r="E18" s="13"/>
      <c r="F18" s="13">
        <f t="shared" ref="F18" si="0">SUM(F4:F17)</f>
        <v>31207.962</v>
      </c>
    </row>
    <row r="19" spans="2:6" ht="13.5" thickTop="1" x14ac:dyDescent="0.2">
      <c r="B19" s="2"/>
      <c r="C19" s="21"/>
      <c r="D19" s="21"/>
      <c r="E19" s="21"/>
      <c r="F19" s="21"/>
    </row>
    <row r="20" spans="2:6" x14ac:dyDescent="0.2">
      <c r="B20" s="30" t="s">
        <v>41</v>
      </c>
      <c r="C20" s="30"/>
      <c r="D20" s="30"/>
      <c r="E20" s="30"/>
      <c r="F20" s="30"/>
    </row>
    <row r="21" spans="2:6" x14ac:dyDescent="0.2">
      <c r="B21" s="7"/>
      <c r="C21" s="28" t="s">
        <v>10</v>
      </c>
      <c r="D21" s="28"/>
      <c r="E21" s="28"/>
      <c r="F21" s="7"/>
    </row>
    <row r="22" spans="2:6" x14ac:dyDescent="0.2">
      <c r="B22" s="14"/>
      <c r="C22" s="15" t="s">
        <v>11</v>
      </c>
      <c r="D22" s="15" t="s">
        <v>12</v>
      </c>
      <c r="E22" s="15" t="s">
        <v>13</v>
      </c>
      <c r="F22" s="16"/>
    </row>
    <row r="23" spans="2:6" x14ac:dyDescent="0.2">
      <c r="B23" s="4" t="s">
        <v>42</v>
      </c>
      <c r="C23" s="4"/>
      <c r="D23" s="4"/>
      <c r="E23" s="19">
        <f>SUM(E24:E27)</f>
        <v>120000</v>
      </c>
    </row>
    <row r="24" spans="2:6" x14ac:dyDescent="0.2">
      <c r="B24" s="18" t="s">
        <v>31</v>
      </c>
      <c r="E24" s="8">
        <v>50000</v>
      </c>
    </row>
    <row r="25" spans="2:6" x14ac:dyDescent="0.2">
      <c r="B25" s="18" t="s">
        <v>32</v>
      </c>
      <c r="E25" s="8">
        <v>40000</v>
      </c>
    </row>
    <row r="26" spans="2:6" x14ac:dyDescent="0.2">
      <c r="B26" s="18" t="s">
        <v>33</v>
      </c>
      <c r="E26" s="8">
        <v>20000</v>
      </c>
    </row>
    <row r="27" spans="2:6" x14ac:dyDescent="0.2">
      <c r="B27" s="18" t="s">
        <v>34</v>
      </c>
      <c r="E27" s="8">
        <v>10000</v>
      </c>
    </row>
    <row r="29" spans="2:6" x14ac:dyDescent="0.2">
      <c r="B29" s="4" t="s">
        <v>36</v>
      </c>
      <c r="E29" s="19">
        <f>E23</f>
        <v>120000</v>
      </c>
    </row>
    <row r="31" spans="2:6" x14ac:dyDescent="0.2">
      <c r="B31" s="4" t="s">
        <v>43</v>
      </c>
      <c r="C31" s="4"/>
      <c r="D31" s="4"/>
      <c r="E31" s="19">
        <v>10000</v>
      </c>
    </row>
    <row r="33" spans="2:5" x14ac:dyDescent="0.2">
      <c r="B33" s="4" t="s">
        <v>38</v>
      </c>
      <c r="C33" s="4"/>
      <c r="D33" s="4"/>
      <c r="E33" s="20">
        <f>E29/E31</f>
        <v>12</v>
      </c>
    </row>
  </sheetData>
  <mergeCells count="4">
    <mergeCell ref="B20:F20"/>
    <mergeCell ref="C21:E21"/>
    <mergeCell ref="B1:F1"/>
    <mergeCell ref="C2:E2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B1:J29"/>
  <sheetViews>
    <sheetView showGridLines="0" zoomScaleNormal="100" workbookViewId="0"/>
  </sheetViews>
  <sheetFormatPr defaultRowHeight="12.75" x14ac:dyDescent="0.2"/>
  <cols>
    <col min="1" max="1" width="1.140625" style="1" customWidth="1"/>
    <col min="2" max="2" width="36.140625" style="1" bestFit="1" customWidth="1"/>
    <col min="3" max="3" width="9.7109375" style="11" bestFit="1" customWidth="1"/>
    <col min="4" max="4" width="9.28515625" style="1" bestFit="1" customWidth="1"/>
    <col min="5" max="5" width="1.5703125" style="1" customWidth="1"/>
    <col min="6" max="6" width="33.42578125" style="1" bestFit="1" customWidth="1"/>
    <col min="7" max="7" width="9.7109375" style="1" bestFit="1" customWidth="1"/>
    <col min="8" max="8" width="7.5703125" style="1" bestFit="1" customWidth="1"/>
    <col min="9" max="9" width="1.28515625" style="1" customWidth="1"/>
    <col min="10" max="10" width="12.28515625" style="11" bestFit="1" customWidth="1"/>
    <col min="11" max="16384" width="9.140625" style="1"/>
  </cols>
  <sheetData>
    <row r="1" spans="2:10" x14ac:dyDescent="0.2">
      <c r="B1" s="4" t="s">
        <v>51</v>
      </c>
      <c r="F1" s="4" t="s">
        <v>67</v>
      </c>
      <c r="G1" s="11"/>
      <c r="J1" s="21" t="s">
        <v>61</v>
      </c>
    </row>
    <row r="2" spans="2:10" x14ac:dyDescent="0.2">
      <c r="G2" s="11"/>
    </row>
    <row r="3" spans="2:10" x14ac:dyDescent="0.2">
      <c r="B3" s="1" t="s">
        <v>52</v>
      </c>
      <c r="C3" s="11">
        <v>9000</v>
      </c>
      <c r="F3" s="1" t="s">
        <v>52</v>
      </c>
      <c r="G3" s="11">
        <v>9000</v>
      </c>
    </row>
    <row r="4" spans="2:10" x14ac:dyDescent="0.2">
      <c r="B4" s="1" t="s">
        <v>53</v>
      </c>
      <c r="C4" s="11">
        <v>30</v>
      </c>
      <c r="F4" s="1" t="s">
        <v>53</v>
      </c>
      <c r="G4" s="11">
        <v>30</v>
      </c>
    </row>
    <row r="5" spans="2:10" x14ac:dyDescent="0.2">
      <c r="B5" s="4" t="s">
        <v>44</v>
      </c>
      <c r="C5" s="21">
        <f>C3*C4</f>
        <v>270000</v>
      </c>
      <c r="D5" s="24">
        <f>C5/C$5</f>
        <v>1</v>
      </c>
      <c r="F5" s="4" t="s">
        <v>44</v>
      </c>
      <c r="G5" s="21">
        <f>G3*G4</f>
        <v>270000</v>
      </c>
      <c r="H5" s="24">
        <f>G5/G$5</f>
        <v>1</v>
      </c>
    </row>
    <row r="6" spans="2:10" x14ac:dyDescent="0.2">
      <c r="B6" s="18" t="s">
        <v>45</v>
      </c>
      <c r="C6" s="11">
        <f>-C3*'Custeio Variavel ou Direto'!E33</f>
        <v>-108000</v>
      </c>
      <c r="D6" s="23">
        <f t="shared" ref="D6:D11" si="0">C6/C$5</f>
        <v>-0.4</v>
      </c>
      <c r="F6" s="18" t="s">
        <v>54</v>
      </c>
      <c r="G6" s="11">
        <f>-G3*'Custeio Absorção'!K34</f>
        <v>-122059.69528571428</v>
      </c>
      <c r="H6" s="23">
        <f t="shared" ref="H6:H9" si="1">G6/G$5</f>
        <v>-0.45207294550264548</v>
      </c>
    </row>
    <row r="7" spans="2:10" x14ac:dyDescent="0.2">
      <c r="B7" s="22" t="s">
        <v>46</v>
      </c>
      <c r="C7" s="21">
        <f>C5+C6</f>
        <v>162000</v>
      </c>
      <c r="D7" s="24">
        <f t="shared" si="0"/>
        <v>0.6</v>
      </c>
      <c r="F7" s="22" t="s">
        <v>55</v>
      </c>
      <c r="G7" s="21">
        <f>G5+G6</f>
        <v>147940.30471428571</v>
      </c>
      <c r="H7" s="24">
        <f t="shared" si="1"/>
        <v>0.54792705449735446</v>
      </c>
    </row>
    <row r="8" spans="2:10" x14ac:dyDescent="0.2">
      <c r="B8" s="18" t="s">
        <v>47</v>
      </c>
      <c r="C8" s="11">
        <v>0</v>
      </c>
      <c r="D8" s="23">
        <f t="shared" si="0"/>
        <v>0</v>
      </c>
      <c r="F8" s="18" t="s">
        <v>56</v>
      </c>
      <c r="G8" s="11">
        <f>-'Custeio Absorção'!J18</f>
        <v>-3425.805301587302</v>
      </c>
      <c r="H8" s="23">
        <f t="shared" si="1"/>
        <v>-1.2688167783656674E-2</v>
      </c>
    </row>
    <row r="9" spans="2:10" x14ac:dyDescent="0.2">
      <c r="B9" s="22" t="s">
        <v>48</v>
      </c>
      <c r="C9" s="21">
        <f>C7+C8</f>
        <v>162000</v>
      </c>
      <c r="D9" s="24">
        <f t="shared" si="0"/>
        <v>0.6</v>
      </c>
      <c r="F9" s="18" t="s">
        <v>57</v>
      </c>
      <c r="G9" s="11">
        <f>-'Custeio Absorção'!I18</f>
        <v>-12160.273047619046</v>
      </c>
      <c r="H9" s="23">
        <f t="shared" si="1"/>
        <v>-4.5038048324514988E-2</v>
      </c>
    </row>
    <row r="10" spans="2:10" x14ac:dyDescent="0.2">
      <c r="B10" s="18" t="s">
        <v>49</v>
      </c>
      <c r="C10" s="11">
        <f>-'Custeio Variavel ou Direto'!F18</f>
        <v>-31207.962</v>
      </c>
      <c r="D10" s="23">
        <f t="shared" si="0"/>
        <v>-0.11558504444444444</v>
      </c>
      <c r="F10" s="22"/>
      <c r="G10" s="21"/>
      <c r="H10" s="24"/>
    </row>
    <row r="11" spans="2:10" x14ac:dyDescent="0.2">
      <c r="B11" s="22" t="s">
        <v>50</v>
      </c>
      <c r="C11" s="21">
        <f>C9+C10</f>
        <v>130792.038</v>
      </c>
      <c r="D11" s="24">
        <f t="shared" si="0"/>
        <v>0.48441495555555558</v>
      </c>
      <c r="F11" s="22" t="s">
        <v>50</v>
      </c>
      <c r="G11" s="21">
        <f>G7+G8+G9</f>
        <v>132354.22636507938</v>
      </c>
      <c r="H11" s="24">
        <f>G11/G$5</f>
        <v>0.49020083838918288</v>
      </c>
      <c r="J11" s="21">
        <f>G11-C11</f>
        <v>1562.1883650793752</v>
      </c>
    </row>
    <row r="14" spans="2:10" x14ac:dyDescent="0.2">
      <c r="B14" s="1" t="s">
        <v>58</v>
      </c>
      <c r="C14" s="11">
        <v>0</v>
      </c>
      <c r="F14" s="1" t="s">
        <v>58</v>
      </c>
      <c r="G14" s="1">
        <v>0</v>
      </c>
    </row>
    <row r="15" spans="2:10" x14ac:dyDescent="0.2">
      <c r="B15" s="1" t="s">
        <v>59</v>
      </c>
      <c r="C15" s="11">
        <f>'Custeio Variavel ou Direto'!E31-C3</f>
        <v>1000</v>
      </c>
      <c r="F15" s="1" t="s">
        <v>59</v>
      </c>
      <c r="G15" s="11">
        <f>'Custeio Absorção'!K32-G3</f>
        <v>1000</v>
      </c>
    </row>
    <row r="16" spans="2:10" x14ac:dyDescent="0.2">
      <c r="B16" s="4" t="s">
        <v>60</v>
      </c>
      <c r="C16" s="21">
        <f>C15*'Custeio Variavel ou Direto'!E33</f>
        <v>12000</v>
      </c>
      <c r="D16" s="4"/>
      <c r="E16" s="4"/>
      <c r="F16" s="4" t="s">
        <v>60</v>
      </c>
      <c r="G16" s="21">
        <f>G15*'Custeio Absorção'!K34</f>
        <v>13562.188365079362</v>
      </c>
      <c r="J16" s="21">
        <f t="shared" ref="J16" si="2">G16-C16</f>
        <v>1562.1883650793625</v>
      </c>
    </row>
    <row r="18" spans="2:8" x14ac:dyDescent="0.2">
      <c r="B18" s="31" t="s">
        <v>62</v>
      </c>
      <c r="C18" s="32"/>
      <c r="D18" s="32"/>
      <c r="E18" s="32"/>
      <c r="F18" s="32"/>
      <c r="G18" s="33"/>
    </row>
    <row r="19" spans="2:8" x14ac:dyDescent="0.2">
      <c r="B19" s="34"/>
      <c r="C19" s="35"/>
      <c r="D19" s="35"/>
      <c r="E19" s="35"/>
      <c r="F19" s="35"/>
      <c r="G19" s="36"/>
    </row>
    <row r="20" spans="2:8" x14ac:dyDescent="0.2">
      <c r="G20" s="11"/>
    </row>
    <row r="21" spans="2:8" x14ac:dyDescent="0.2">
      <c r="B21" s="4" t="s">
        <v>66</v>
      </c>
      <c r="G21" s="11"/>
    </row>
    <row r="22" spans="2:8" x14ac:dyDescent="0.2">
      <c r="B22" s="1" t="s">
        <v>63</v>
      </c>
      <c r="C22" s="25">
        <f>'Custeio Absorção'!K23/'Custeio Absorção'!K32</f>
        <v>12</v>
      </c>
      <c r="D22" s="37">
        <v>1000</v>
      </c>
      <c r="F22" s="26">
        <f>C22*$D$22</f>
        <v>12000</v>
      </c>
      <c r="G22" s="21"/>
      <c r="H22" s="24"/>
    </row>
    <row r="23" spans="2:8" x14ac:dyDescent="0.2">
      <c r="B23" s="1" t="s">
        <v>64</v>
      </c>
      <c r="C23" s="25">
        <f>'Custeio Absorção'!K28/'Custeio Absorção'!K32</f>
        <v>1.5621883650793651</v>
      </c>
      <c r="D23" s="37"/>
      <c r="F23" s="26">
        <f t="shared" ref="F23:F24" si="3">C23*$D$22</f>
        <v>1562.188365079365</v>
      </c>
      <c r="G23" s="11"/>
      <c r="H23" s="23"/>
    </row>
    <row r="24" spans="2:8" x14ac:dyDescent="0.2">
      <c r="B24" s="1" t="s">
        <v>65</v>
      </c>
      <c r="C24" s="25">
        <f>SUM(C22:C23)</f>
        <v>13.562188365079365</v>
      </c>
      <c r="D24" s="37"/>
      <c r="F24" s="26">
        <f t="shared" si="3"/>
        <v>13562.188365079364</v>
      </c>
      <c r="G24" s="21"/>
      <c r="H24" s="24"/>
    </row>
    <row r="25" spans="2:8" x14ac:dyDescent="0.2">
      <c r="B25" s="22"/>
      <c r="C25" s="21"/>
      <c r="D25" s="24"/>
      <c r="F25" s="18"/>
      <c r="G25" s="11"/>
      <c r="H25" s="23"/>
    </row>
    <row r="26" spans="2:8" x14ac:dyDescent="0.2">
      <c r="B26" s="4" t="s">
        <v>68</v>
      </c>
      <c r="G26" s="11"/>
      <c r="H26" s="23"/>
    </row>
    <row r="27" spans="2:8" x14ac:dyDescent="0.2">
      <c r="B27" s="1" t="s">
        <v>69</v>
      </c>
      <c r="C27" s="25">
        <f>'Custeio Variavel ou Direto'!E29/'Custeio Variavel ou Direto'!E31</f>
        <v>12</v>
      </c>
      <c r="D27" s="37">
        <v>1000</v>
      </c>
      <c r="F27" s="26">
        <f>C27*$D$22</f>
        <v>12000</v>
      </c>
      <c r="G27" s="21"/>
      <c r="H27" s="24"/>
    </row>
    <row r="28" spans="2:8" x14ac:dyDescent="0.2">
      <c r="C28" s="25"/>
      <c r="D28" s="37"/>
      <c r="F28" s="26"/>
      <c r="G28" s="21"/>
      <c r="H28" s="24"/>
    </row>
    <row r="29" spans="2:8" x14ac:dyDescent="0.2">
      <c r="B29" s="1" t="s">
        <v>65</v>
      </c>
      <c r="C29" s="25">
        <f>SUM(C27:C28)</f>
        <v>12</v>
      </c>
      <c r="D29" s="37"/>
      <c r="F29" s="26">
        <f t="shared" ref="F29" si="4">C29*$D$22</f>
        <v>12000</v>
      </c>
    </row>
  </sheetData>
  <mergeCells count="3">
    <mergeCell ref="B18:G19"/>
    <mergeCell ref="D22:D24"/>
    <mergeCell ref="D27:D29"/>
  </mergeCells>
  <pageMargins left="0.511811024" right="0.511811024" top="0.78740157499999996" bottom="0.78740157499999996" header="0.31496062000000002" footer="0.31496062000000002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Custeio Absorção</vt:lpstr>
      <vt:lpstr>Custeio Variavel ou Direto</vt:lpstr>
      <vt:lpstr>DRE</vt:lpstr>
    </vt:vector>
  </TitlesOfParts>
  <Manager>ePlanilhas.com.br</Manager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cp:lastPrinted>2013-02-14T01:20:53Z</cp:lastPrinted>
  <dcterms:created xsi:type="dcterms:W3CDTF">2013-02-13T23:51:36Z</dcterms:created>
  <dcterms:modified xsi:type="dcterms:W3CDTF">2024-08-07T20:00:45Z</dcterms:modified>
</cp:coreProperties>
</file>