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\Desktop\crack\Data Analytics\proyectos\ProyectoExcel\Analisis de Ventaja Competitiva\"/>
    </mc:Choice>
  </mc:AlternateContent>
  <xr:revisionPtr revIDLastSave="0" documentId="8_{6CD7D705-76D5-4CA2-8F1C-E7C80E582C07}" xr6:coauthVersionLast="47" xr6:coauthVersionMax="47" xr10:uidLastSave="{00000000-0000-0000-0000-000000000000}"/>
  <bookViews>
    <workbookView xWindow="-120" yWindow="-120" windowWidth="20730" windowHeight="11160" xr2:uid="{B096E55D-C67D-4F74-B4C9-97F2F9A401D5}"/>
  </bookViews>
  <sheets>
    <sheet name="database" sheetId="1" r:id="rId1"/>
    <sheet name="salida" sheetId="2" r:id="rId2"/>
    <sheet name="ANALISIS DE VENTAJA COMPETITIVA" sheetId="3" r:id="rId3"/>
  </sheets>
  <definedNames>
    <definedName name="_xlnm._FilterDatabase" localSheetId="0" hidden="1">database!$D$1:$D$507</definedName>
    <definedName name="accumulatedDepreciationAmortizationPPE">salida!$E$26:$M$26</definedName>
    <definedName name="BASE_DE_DATOS">database!$D$2:$M$567</definedName>
    <definedName name="cashAndShortTermInvestments">salida!$E$20:$M$20</definedName>
    <definedName name="COLUMNA">database!$D$1:$M$1</definedName>
    <definedName name="commonStock">salida!$E$44:$M$44</definedName>
    <definedName name="commonStockSharesOutstanding">salida!$E$17:$M$17</definedName>
    <definedName name="costOfRevenue">salida!$E$4:$M$4</definedName>
    <definedName name="currentAccountsPayable">salida!$E$33:$M$33</definedName>
    <definedName name="currentDebt">salida!$E$34:$M$34</definedName>
    <definedName name="currentNetReceivables">salida!$E$22:$M$22</definedName>
    <definedName name="deferredRevenue">salida!$E$35:$M$35</definedName>
    <definedName name="depreciationAndAmortization">salida!$E$12:$M$12</definedName>
    <definedName name="ebit">salida!$E$18:$M$18</definedName>
    <definedName name="ebitda">salida!$E$19:$M$19</definedName>
    <definedName name="FECHAS">salida!$E$1:$M$1</definedName>
    <definedName name="fechasaapl">database!$E$2:$M$2</definedName>
    <definedName name="fechasamzn">database!$E$65:$M$65</definedName>
    <definedName name="fechasgoogl">database!$E$128:$M$128</definedName>
    <definedName name="fechasko">database!$E$191:$M$191</definedName>
    <definedName name="fechasmeta">database!$E$254:$M$254</definedName>
    <definedName name="fechasmsft">database!$E$317:$M$317</definedName>
    <definedName name="fechasnvda">database!$E$380:$M$380</definedName>
    <definedName name="fechastsla">database!$E$443:$M$443</definedName>
    <definedName name="goodwill">salida!$E$29:$M$29</definedName>
    <definedName name="grossProfit">salida!$E$5:$M$5</definedName>
    <definedName name="incomeBeforeTax">salida!$E$13:$M$13</definedName>
    <definedName name="incomeTaxExpense">salida!$E$14:$M$14</definedName>
    <definedName name="intangibleAssetsExcludingGoodwill">salida!$E$28:$M$28</definedName>
    <definedName name="interestExpense">salida!$E$11:$M$11</definedName>
    <definedName name="interestIncome">salida!$E$10:$M$10</definedName>
    <definedName name="inventory">salida!$E$21:$M$21</definedName>
    <definedName name="longTermDebt">salida!$E$38:$M$38</definedName>
    <definedName name="longTermInvestments">salida!$E$27:$M$27</definedName>
    <definedName name="netIncome">salida!$E$16:$M$16</definedName>
    <definedName name="netIncomeFromContinuingOperations">salida!$E$15:$M$15</definedName>
    <definedName name="operatingIncome">salida!$E$8:$M$8</definedName>
    <definedName name="otherCurrentAssets">salida!$E$23:$M$23</definedName>
    <definedName name="otherNonCurrentAssets">salida!$E$30:$M$30</definedName>
    <definedName name="otherNonCurrentLiabilities">salida!$E$39:$M$39</definedName>
    <definedName name="otherNonOperatingIncome">salida!$E$9:$M$9</definedName>
    <definedName name="propertyPlantEquipment">salida!$E$25:$M$25</definedName>
    <definedName name="reportedEPS">salida!$E$46:$M$46</definedName>
    <definedName name="researchAndDevelopment">salida!$E$6:$M$6</definedName>
    <definedName name="retainedEarnings">salida!$E$43:$M$43</definedName>
    <definedName name="sellingGeneralAndAdministrative">salida!$E$7:$M$7</definedName>
    <definedName name="shortTermDebt">salida!$E$36:$M$36</definedName>
    <definedName name="totalAssets">salida!$E$32:$M$32</definedName>
    <definedName name="totalCurrentAssets">salida!$E$24:$M$24</definedName>
    <definedName name="totalCurrentLiabilities">salida!$E$37:$M$37</definedName>
    <definedName name="totalLiabilities">salida!$E$41:$M$41</definedName>
    <definedName name="totalNonCurrentAssets">salida!$E$31:$M$31</definedName>
    <definedName name="totalNonCurrentLiabilities">salida!$E$40:$M$40</definedName>
    <definedName name="totalRevenue">salida!$E$3:$M$3</definedName>
    <definedName name="totalShareholderEquity">salida!$E$45:$M$45</definedName>
    <definedName name="treasuryStock">salida!$E$42:$M$42</definedName>
    <definedName name="wacc">'ANALISIS DE VENTAJA COMPETITIVA'!$E$52:$M$52</definedName>
    <definedName name="WORKIG_CAPITAL">'ANALISIS DE VENTAJA COMPETITIVA'!$E$26:$M$26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G1" i="3"/>
  <c r="H1" i="3"/>
  <c r="I1" i="3"/>
  <c r="J1" i="3"/>
  <c r="K1" i="3"/>
  <c r="L1" i="3"/>
  <c r="M1" i="3"/>
  <c r="E1" i="3"/>
  <c r="A1" i="2"/>
  <c r="A4" i="2" s="1"/>
  <c r="D4" i="2" s="1"/>
  <c r="F49" i="3"/>
  <c r="G49" i="3"/>
  <c r="H49" i="3"/>
  <c r="I49" i="3"/>
  <c r="J49" i="3"/>
  <c r="K49" i="3"/>
  <c r="L49" i="3"/>
  <c r="M49" i="3"/>
  <c r="E49" i="3"/>
  <c r="Q17" i="3"/>
  <c r="D2" i="1"/>
  <c r="B66" i="1"/>
  <c r="B67" i="1" s="1"/>
  <c r="B129" i="1"/>
  <c r="B130" i="1" s="1"/>
  <c r="B192" i="1"/>
  <c r="B193" i="1" s="1"/>
  <c r="B255" i="1"/>
  <c r="B319" i="1"/>
  <c r="B381" i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D443" i="1" s="1"/>
  <c r="B444" i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3" i="1"/>
  <c r="B4" i="1" s="1"/>
  <c r="B405" i="1" l="1"/>
  <c r="A46" i="2"/>
  <c r="D46" i="2" s="1"/>
  <c r="A22" i="2"/>
  <c r="D22" i="2" s="1"/>
  <c r="A35" i="2"/>
  <c r="D35" i="2" s="1"/>
  <c r="A43" i="2"/>
  <c r="D43" i="2" s="1"/>
  <c r="A27" i="2"/>
  <c r="D27" i="2" s="1"/>
  <c r="A14" i="2"/>
  <c r="D14" i="2" s="1"/>
  <c r="A3" i="2"/>
  <c r="D3" i="2" s="1"/>
  <c r="A31" i="2"/>
  <c r="D31" i="2" s="1"/>
  <c r="A15" i="2"/>
  <c r="D15" i="2" s="1"/>
  <c r="A38" i="2"/>
  <c r="D38" i="2" s="1"/>
  <c r="A23" i="2"/>
  <c r="D23" i="2" s="1"/>
  <c r="A11" i="2"/>
  <c r="D11" i="2" s="1"/>
  <c r="A39" i="2"/>
  <c r="D39" i="2" s="1"/>
  <c r="A30" i="2"/>
  <c r="D30" i="2" s="1"/>
  <c r="A19" i="2"/>
  <c r="D19" i="2" s="1"/>
  <c r="A7" i="2"/>
  <c r="D7" i="2" s="1"/>
  <c r="A42" i="2"/>
  <c r="D42" i="2" s="1"/>
  <c r="A34" i="2"/>
  <c r="D34" i="2" s="1"/>
  <c r="A26" i="2"/>
  <c r="D26" i="2" s="1"/>
  <c r="A18" i="2"/>
  <c r="D18" i="2" s="1"/>
  <c r="A10" i="2"/>
  <c r="D10" i="2" s="1"/>
  <c r="A6" i="2"/>
  <c r="D6" i="2" s="1"/>
  <c r="A41" i="2"/>
  <c r="D41" i="2" s="1"/>
  <c r="A33" i="2"/>
  <c r="D33" i="2" s="1"/>
  <c r="A29" i="2"/>
  <c r="D29" i="2" s="1"/>
  <c r="A25" i="2"/>
  <c r="D25" i="2" s="1"/>
  <c r="A21" i="2"/>
  <c r="D21" i="2" s="1"/>
  <c r="A17" i="2"/>
  <c r="D17" i="2" s="1"/>
  <c r="A13" i="2"/>
  <c r="D13" i="2" s="1"/>
  <c r="A9" i="2"/>
  <c r="D9" i="2" s="1"/>
  <c r="A5" i="2"/>
  <c r="D5" i="2" s="1"/>
  <c r="A45" i="2"/>
  <c r="D45" i="2" s="1"/>
  <c r="A37" i="2"/>
  <c r="D37" i="2" s="1"/>
  <c r="A44" i="2"/>
  <c r="D44" i="2" s="1"/>
  <c r="A40" i="2"/>
  <c r="D40" i="2" s="1"/>
  <c r="A36" i="2"/>
  <c r="D36" i="2" s="1"/>
  <c r="A32" i="2"/>
  <c r="D32" i="2" s="1"/>
  <c r="A28" i="2"/>
  <c r="D28" i="2" s="1"/>
  <c r="A24" i="2"/>
  <c r="D24" i="2" s="1"/>
  <c r="A20" i="2"/>
  <c r="D20" i="2" s="1"/>
  <c r="A16" i="2"/>
  <c r="D16" i="2" s="1"/>
  <c r="A12" i="2"/>
  <c r="D12" i="2" s="1"/>
  <c r="A8" i="2"/>
  <c r="D8" i="2" s="1"/>
  <c r="D3" i="1"/>
  <c r="D445" i="1"/>
  <c r="D429" i="1"/>
  <c r="D420" i="1"/>
  <c r="D412" i="1"/>
  <c r="D403" i="1"/>
  <c r="D395" i="1"/>
  <c r="D387" i="1"/>
  <c r="D457" i="1"/>
  <c r="D441" i="1"/>
  <c r="D425" i="1"/>
  <c r="D417" i="1"/>
  <c r="D409" i="1"/>
  <c r="D400" i="1"/>
  <c r="D392" i="1"/>
  <c r="D384" i="1"/>
  <c r="D453" i="1"/>
  <c r="D437" i="1"/>
  <c r="D424" i="1"/>
  <c r="D416" i="1"/>
  <c r="D408" i="1"/>
  <c r="D399" i="1"/>
  <c r="D391" i="1"/>
  <c r="D383" i="1"/>
  <c r="D449" i="1"/>
  <c r="D433" i="1"/>
  <c r="D421" i="1"/>
  <c r="D413" i="1"/>
  <c r="D404" i="1"/>
  <c r="D396" i="1"/>
  <c r="D388" i="1"/>
  <c r="D192" i="1"/>
  <c r="B5" i="1"/>
  <c r="D4" i="1"/>
  <c r="B459" i="1"/>
  <c r="D458" i="1"/>
  <c r="B256" i="1"/>
  <c r="D255" i="1"/>
  <c r="B131" i="1"/>
  <c r="D130" i="1"/>
  <c r="D455" i="1"/>
  <c r="D451" i="1"/>
  <c r="D447" i="1"/>
  <c r="D439" i="1"/>
  <c r="D435" i="1"/>
  <c r="D431" i="1"/>
  <c r="D427" i="1"/>
  <c r="D423" i="1"/>
  <c r="D419" i="1"/>
  <c r="D415" i="1"/>
  <c r="D411" i="1"/>
  <c r="D407" i="1"/>
  <c r="D402" i="1"/>
  <c r="D398" i="1"/>
  <c r="D394" i="1"/>
  <c r="D390" i="1"/>
  <c r="D386" i="1"/>
  <c r="D382" i="1"/>
  <c r="D318" i="1"/>
  <c r="D66" i="1"/>
  <c r="B194" i="1"/>
  <c r="D193" i="1"/>
  <c r="D456" i="1"/>
  <c r="D452" i="1"/>
  <c r="D448" i="1"/>
  <c r="D444" i="1"/>
  <c r="D440" i="1"/>
  <c r="D436" i="1"/>
  <c r="D432" i="1"/>
  <c r="D428" i="1"/>
  <c r="B320" i="1"/>
  <c r="D319" i="1"/>
  <c r="B68" i="1"/>
  <c r="D67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1" i="1"/>
  <c r="D397" i="1"/>
  <c r="D393" i="1"/>
  <c r="D389" i="1"/>
  <c r="D385" i="1"/>
  <c r="D381" i="1"/>
  <c r="D129" i="1"/>
  <c r="A4" i="1"/>
  <c r="D405" i="1" l="1"/>
  <c r="A5" i="1"/>
  <c r="B132" i="1"/>
  <c r="D131" i="1"/>
  <c r="B69" i="1"/>
  <c r="D68" i="1"/>
  <c r="B195" i="1"/>
  <c r="D194" i="1"/>
  <c r="B257" i="1"/>
  <c r="D256" i="1"/>
  <c r="B321" i="1"/>
  <c r="D320" i="1"/>
  <c r="B460" i="1"/>
  <c r="D459" i="1"/>
  <c r="B6" i="1"/>
  <c r="D5" i="1"/>
  <c r="B258" i="1" l="1"/>
  <c r="D257" i="1"/>
  <c r="B70" i="1"/>
  <c r="D69" i="1"/>
  <c r="B7" i="1"/>
  <c r="D6" i="1"/>
  <c r="B461" i="1"/>
  <c r="D460" i="1"/>
  <c r="B322" i="1"/>
  <c r="D321" i="1"/>
  <c r="A6" i="1"/>
  <c r="B196" i="1"/>
  <c r="D195" i="1"/>
  <c r="B133" i="1"/>
  <c r="D132" i="1"/>
  <c r="A7" i="1" l="1"/>
  <c r="B197" i="1"/>
  <c r="D196" i="1"/>
  <c r="B462" i="1"/>
  <c r="D461" i="1"/>
  <c r="B71" i="1"/>
  <c r="D70" i="1"/>
  <c r="B134" i="1"/>
  <c r="D133" i="1"/>
  <c r="B323" i="1"/>
  <c r="D322" i="1"/>
  <c r="B8" i="1"/>
  <c r="D7" i="1"/>
  <c r="B259" i="1"/>
  <c r="D258" i="1"/>
  <c r="A8" i="1" l="1"/>
  <c r="B463" i="1"/>
  <c r="D462" i="1"/>
  <c r="B135" i="1"/>
  <c r="D134" i="1"/>
  <c r="B260" i="1"/>
  <c r="D259" i="1"/>
  <c r="B324" i="1"/>
  <c r="D323" i="1"/>
  <c r="B72" i="1"/>
  <c r="D71" i="1"/>
  <c r="B9" i="1"/>
  <c r="D8" i="1"/>
  <c r="B198" i="1"/>
  <c r="D197" i="1"/>
  <c r="B10" i="1" l="1"/>
  <c r="D9" i="1"/>
  <c r="B136" i="1"/>
  <c r="D135" i="1"/>
  <c r="B199" i="1"/>
  <c r="D198" i="1"/>
  <c r="B73" i="1"/>
  <c r="D72" i="1"/>
  <c r="B261" i="1"/>
  <c r="D260" i="1"/>
  <c r="B464" i="1"/>
  <c r="D463" i="1"/>
  <c r="B325" i="1"/>
  <c r="D324" i="1"/>
  <c r="A9" i="1"/>
  <c r="A10" i="1" l="1"/>
  <c r="B465" i="1"/>
  <c r="D464" i="1"/>
  <c r="B74" i="1"/>
  <c r="D73" i="1"/>
  <c r="B137" i="1"/>
  <c r="D136" i="1"/>
  <c r="B326" i="1"/>
  <c r="D325" i="1"/>
  <c r="B262" i="1"/>
  <c r="D261" i="1"/>
  <c r="B200" i="1"/>
  <c r="D199" i="1"/>
  <c r="B11" i="1"/>
  <c r="D10" i="1"/>
  <c r="B201" i="1" l="1"/>
  <c r="D200" i="1"/>
  <c r="B75" i="1"/>
  <c r="D74" i="1"/>
  <c r="B12" i="1"/>
  <c r="D11" i="1"/>
  <c r="B138" i="1"/>
  <c r="D137" i="1"/>
  <c r="B466" i="1"/>
  <c r="D465" i="1"/>
  <c r="B327" i="1"/>
  <c r="D326" i="1"/>
  <c r="B263" i="1"/>
  <c r="D262" i="1"/>
  <c r="A11" i="1"/>
  <c r="A12" i="1" l="1"/>
  <c r="B328" i="1"/>
  <c r="D327" i="1"/>
  <c r="B139" i="1"/>
  <c r="D138" i="1"/>
  <c r="B76" i="1"/>
  <c r="D75" i="1"/>
  <c r="B264" i="1"/>
  <c r="D263" i="1"/>
  <c r="B467" i="1"/>
  <c r="B468" i="1" s="1"/>
  <c r="D466" i="1"/>
  <c r="B13" i="1"/>
  <c r="D12" i="1"/>
  <c r="B202" i="1"/>
  <c r="D201" i="1"/>
  <c r="D468" i="1" l="1"/>
  <c r="B265" i="1"/>
  <c r="D264" i="1"/>
  <c r="B140" i="1"/>
  <c r="D139" i="1"/>
  <c r="B203" i="1"/>
  <c r="D202" i="1"/>
  <c r="B77" i="1"/>
  <c r="D76" i="1"/>
  <c r="B329" i="1"/>
  <c r="D328" i="1"/>
  <c r="B14" i="1"/>
  <c r="D13" i="1"/>
  <c r="B469" i="1"/>
  <c r="D467" i="1"/>
  <c r="A13" i="1"/>
  <c r="A14" i="1" l="1"/>
  <c r="B15" i="1"/>
  <c r="D14" i="1"/>
  <c r="B78" i="1"/>
  <c r="D77" i="1"/>
  <c r="B141" i="1"/>
  <c r="D140" i="1"/>
  <c r="B470" i="1"/>
  <c r="D469" i="1"/>
  <c r="B330" i="1"/>
  <c r="D329" i="1"/>
  <c r="B204" i="1"/>
  <c r="D203" i="1"/>
  <c r="B266" i="1"/>
  <c r="D265" i="1"/>
  <c r="B205" i="1" l="1"/>
  <c r="D204" i="1"/>
  <c r="B471" i="1"/>
  <c r="D470" i="1"/>
  <c r="B79" i="1"/>
  <c r="D78" i="1"/>
  <c r="B331" i="1"/>
  <c r="D330" i="1"/>
  <c r="B16" i="1"/>
  <c r="D15" i="1"/>
  <c r="B267" i="1"/>
  <c r="D266" i="1"/>
  <c r="B142" i="1"/>
  <c r="D141" i="1"/>
  <c r="A15" i="1"/>
  <c r="A16" i="1" l="1"/>
  <c r="B268" i="1"/>
  <c r="D267" i="1"/>
  <c r="B332" i="1"/>
  <c r="D331" i="1"/>
  <c r="B472" i="1"/>
  <c r="D471" i="1"/>
  <c r="B143" i="1"/>
  <c r="D142" i="1"/>
  <c r="B17" i="1"/>
  <c r="D16" i="1"/>
  <c r="B80" i="1"/>
  <c r="D79" i="1"/>
  <c r="B206" i="1"/>
  <c r="D205" i="1"/>
  <c r="B333" i="1" l="1"/>
  <c r="D332" i="1"/>
  <c r="B144" i="1"/>
  <c r="D143" i="1"/>
  <c r="B18" i="1"/>
  <c r="D17" i="1"/>
  <c r="B473" i="1"/>
  <c r="D472" i="1"/>
  <c r="B269" i="1"/>
  <c r="D268" i="1"/>
  <c r="B81" i="1"/>
  <c r="D80" i="1"/>
  <c r="B207" i="1"/>
  <c r="D206" i="1"/>
  <c r="A17" i="1"/>
  <c r="A18" i="1" l="1"/>
  <c r="B82" i="1"/>
  <c r="D81" i="1"/>
  <c r="B474" i="1"/>
  <c r="D473" i="1"/>
  <c r="B145" i="1"/>
  <c r="D144" i="1"/>
  <c r="B208" i="1"/>
  <c r="D207" i="1"/>
  <c r="B270" i="1"/>
  <c r="D269" i="1"/>
  <c r="B19" i="1"/>
  <c r="D18" i="1"/>
  <c r="B334" i="1"/>
  <c r="D333" i="1"/>
  <c r="B20" i="1" l="1"/>
  <c r="D19" i="1"/>
  <c r="B209" i="1"/>
  <c r="D208" i="1"/>
  <c r="B475" i="1"/>
  <c r="D474" i="1"/>
  <c r="B335" i="1"/>
  <c r="D334" i="1"/>
  <c r="B83" i="1"/>
  <c r="D82" i="1"/>
  <c r="B271" i="1"/>
  <c r="D270" i="1"/>
  <c r="B146" i="1"/>
  <c r="D145" i="1"/>
  <c r="A19" i="1"/>
  <c r="A20" i="1" l="1"/>
  <c r="B210" i="1"/>
  <c r="D209" i="1"/>
  <c r="B272" i="1"/>
  <c r="D271" i="1"/>
  <c r="B336" i="1"/>
  <c r="D335" i="1"/>
  <c r="B147" i="1"/>
  <c r="D146" i="1"/>
  <c r="B84" i="1"/>
  <c r="D83" i="1"/>
  <c r="B476" i="1"/>
  <c r="D475" i="1"/>
  <c r="B21" i="1"/>
  <c r="D20" i="1"/>
  <c r="B477" i="1" l="1"/>
  <c r="D476" i="1"/>
  <c r="B148" i="1"/>
  <c r="D147" i="1"/>
  <c r="B273" i="1"/>
  <c r="D272" i="1"/>
  <c r="B211" i="1"/>
  <c r="D210" i="1"/>
  <c r="B22" i="1"/>
  <c r="D21" i="1"/>
  <c r="B85" i="1"/>
  <c r="D84" i="1"/>
  <c r="B337" i="1"/>
  <c r="D336" i="1"/>
  <c r="A21" i="1"/>
  <c r="A22" i="1" l="1"/>
  <c r="B86" i="1"/>
  <c r="D85" i="1"/>
  <c r="B212" i="1"/>
  <c r="D211" i="1"/>
  <c r="B149" i="1"/>
  <c r="D148" i="1"/>
  <c r="B338" i="1"/>
  <c r="D337" i="1"/>
  <c r="B23" i="1"/>
  <c r="D22" i="1"/>
  <c r="B274" i="1"/>
  <c r="D273" i="1"/>
  <c r="B478" i="1"/>
  <c r="D477" i="1"/>
  <c r="B339" i="1" l="1"/>
  <c r="D338" i="1"/>
  <c r="B213" i="1"/>
  <c r="D212" i="1"/>
  <c r="B479" i="1"/>
  <c r="D478" i="1"/>
  <c r="B150" i="1"/>
  <c r="D149" i="1"/>
  <c r="B87" i="1"/>
  <c r="D86" i="1"/>
  <c r="B275" i="1"/>
  <c r="D274" i="1"/>
  <c r="B24" i="1"/>
  <c r="D23" i="1"/>
  <c r="A23" i="1"/>
  <c r="A24" i="1" l="1"/>
  <c r="B276" i="1"/>
  <c r="D275" i="1"/>
  <c r="B151" i="1"/>
  <c r="D150" i="1"/>
  <c r="B214" i="1"/>
  <c r="D213" i="1"/>
  <c r="B25" i="1"/>
  <c r="D24" i="1"/>
  <c r="B88" i="1"/>
  <c r="D87" i="1"/>
  <c r="B480" i="1"/>
  <c r="D479" i="1"/>
  <c r="B340" i="1"/>
  <c r="D339" i="1"/>
  <c r="B26" i="1" l="1"/>
  <c r="B27" i="1" s="1"/>
  <c r="D25" i="1"/>
  <c r="B152" i="1"/>
  <c r="B153" i="1" s="1"/>
  <c r="D151" i="1"/>
  <c r="B481" i="1"/>
  <c r="D480" i="1"/>
  <c r="B89" i="1"/>
  <c r="B90" i="1" s="1"/>
  <c r="D88" i="1"/>
  <c r="B215" i="1"/>
  <c r="B216" i="1" s="1"/>
  <c r="D214" i="1"/>
  <c r="B277" i="1"/>
  <c r="D276" i="1"/>
  <c r="B341" i="1"/>
  <c r="B342" i="1" s="1"/>
  <c r="D340" i="1"/>
  <c r="A25" i="1"/>
  <c r="D90" i="1" l="1"/>
  <c r="D153" i="1"/>
  <c r="D342" i="1"/>
  <c r="D216" i="1"/>
  <c r="D27" i="1"/>
  <c r="A26" i="1"/>
  <c r="A27" i="1" s="1"/>
  <c r="B278" i="1"/>
  <c r="B279" i="1" s="1"/>
  <c r="D277" i="1"/>
  <c r="B91" i="1"/>
  <c r="D89" i="1"/>
  <c r="B154" i="1"/>
  <c r="D152" i="1"/>
  <c r="B343" i="1"/>
  <c r="D341" i="1"/>
  <c r="B217" i="1"/>
  <c r="D215" i="1"/>
  <c r="B482" i="1"/>
  <c r="D481" i="1"/>
  <c r="B28" i="1"/>
  <c r="D26" i="1"/>
  <c r="D279" i="1" l="1"/>
  <c r="B483" i="1"/>
  <c r="D482" i="1"/>
  <c r="B344" i="1"/>
  <c r="D343" i="1"/>
  <c r="B29" i="1"/>
  <c r="D28" i="1"/>
  <c r="B218" i="1"/>
  <c r="D217" i="1"/>
  <c r="B155" i="1"/>
  <c r="D154" i="1"/>
  <c r="B280" i="1"/>
  <c r="D278" i="1"/>
  <c r="B92" i="1"/>
  <c r="D91" i="1"/>
  <c r="A28" i="1"/>
  <c r="A29" i="1" l="1"/>
  <c r="B281" i="1"/>
  <c r="D280" i="1"/>
  <c r="B219" i="1"/>
  <c r="D218" i="1"/>
  <c r="B345" i="1"/>
  <c r="D344" i="1"/>
  <c r="B93" i="1"/>
  <c r="D92" i="1"/>
  <c r="B156" i="1"/>
  <c r="D155" i="1"/>
  <c r="B30" i="1"/>
  <c r="D29" i="1"/>
  <c r="B484" i="1"/>
  <c r="D483" i="1"/>
  <c r="B31" i="1" l="1"/>
  <c r="D30" i="1"/>
  <c r="B94" i="1"/>
  <c r="D93" i="1"/>
  <c r="B220" i="1"/>
  <c r="D219" i="1"/>
  <c r="B157" i="1"/>
  <c r="D156" i="1"/>
  <c r="B282" i="1"/>
  <c r="D281" i="1"/>
  <c r="B485" i="1"/>
  <c r="D484" i="1"/>
  <c r="B346" i="1"/>
  <c r="D345" i="1"/>
  <c r="A30" i="1"/>
  <c r="A31" i="1" l="1"/>
  <c r="B95" i="1"/>
  <c r="D94" i="1"/>
  <c r="B486" i="1"/>
  <c r="D485" i="1"/>
  <c r="B158" i="1"/>
  <c r="D157" i="1"/>
  <c r="B347" i="1"/>
  <c r="D346" i="1"/>
  <c r="B283" i="1"/>
  <c r="D282" i="1"/>
  <c r="B221" i="1"/>
  <c r="D220" i="1"/>
  <c r="B32" i="1"/>
  <c r="D31" i="1"/>
  <c r="A32" i="1" l="1"/>
  <c r="B222" i="1"/>
  <c r="D221" i="1"/>
  <c r="B487" i="1"/>
  <c r="D486" i="1"/>
  <c r="B159" i="1"/>
  <c r="D158" i="1"/>
  <c r="B348" i="1"/>
  <c r="D347" i="1"/>
  <c r="B33" i="1"/>
  <c r="D32" i="1"/>
  <c r="B284" i="1"/>
  <c r="D283" i="1"/>
  <c r="B96" i="1"/>
  <c r="D95" i="1"/>
  <c r="B488" i="1" l="1"/>
  <c r="D487" i="1"/>
  <c r="B97" i="1"/>
  <c r="D96" i="1"/>
  <c r="B34" i="1"/>
  <c r="D33" i="1"/>
  <c r="B285" i="1"/>
  <c r="D284" i="1"/>
  <c r="B349" i="1"/>
  <c r="D348" i="1"/>
  <c r="A33" i="1"/>
  <c r="B160" i="1"/>
  <c r="D159" i="1"/>
  <c r="B223" i="1"/>
  <c r="D222" i="1"/>
  <c r="A34" i="1" l="1"/>
  <c r="B286" i="1"/>
  <c r="D285" i="1"/>
  <c r="B224" i="1"/>
  <c r="D223" i="1"/>
  <c r="B161" i="1"/>
  <c r="D160" i="1"/>
  <c r="B98" i="1"/>
  <c r="D97" i="1"/>
  <c r="B350" i="1"/>
  <c r="D349" i="1"/>
  <c r="B35" i="1"/>
  <c r="D34" i="1"/>
  <c r="B489" i="1"/>
  <c r="D488" i="1"/>
  <c r="B225" i="1" l="1"/>
  <c r="D224" i="1"/>
  <c r="B99" i="1"/>
  <c r="D98" i="1"/>
  <c r="B490" i="1"/>
  <c r="D489" i="1"/>
  <c r="B351" i="1"/>
  <c r="D350" i="1"/>
  <c r="B162" i="1"/>
  <c r="D161" i="1"/>
  <c r="B287" i="1"/>
  <c r="D286" i="1"/>
  <c r="B36" i="1"/>
  <c r="D35" i="1"/>
  <c r="A35" i="1"/>
  <c r="A36" i="1" l="1"/>
  <c r="B288" i="1"/>
  <c r="D287" i="1"/>
  <c r="B352" i="1"/>
  <c r="D351" i="1"/>
  <c r="B100" i="1"/>
  <c r="D99" i="1"/>
  <c r="B37" i="1"/>
  <c r="D36" i="1"/>
  <c r="B163" i="1"/>
  <c r="D162" i="1"/>
  <c r="B491" i="1"/>
  <c r="D490" i="1"/>
  <c r="B226" i="1"/>
  <c r="D225" i="1"/>
  <c r="B492" i="1" l="1"/>
  <c r="D491" i="1"/>
  <c r="B353" i="1"/>
  <c r="D352" i="1"/>
  <c r="B38" i="1"/>
  <c r="D37" i="1"/>
  <c r="B227" i="1"/>
  <c r="D226" i="1"/>
  <c r="B164" i="1"/>
  <c r="D163" i="1"/>
  <c r="B101" i="1"/>
  <c r="D100" i="1"/>
  <c r="B289" i="1"/>
  <c r="D288" i="1"/>
  <c r="A37" i="1"/>
  <c r="A38" i="1" l="1"/>
  <c r="B102" i="1"/>
  <c r="D101" i="1"/>
  <c r="B228" i="1"/>
  <c r="D227" i="1"/>
  <c r="B354" i="1"/>
  <c r="D353" i="1"/>
  <c r="B290" i="1"/>
  <c r="D289" i="1"/>
  <c r="B165" i="1"/>
  <c r="D164" i="1"/>
  <c r="B39" i="1"/>
  <c r="D38" i="1"/>
  <c r="B493" i="1"/>
  <c r="D492" i="1"/>
  <c r="B291" i="1" l="1"/>
  <c r="D290" i="1"/>
  <c r="B40" i="1"/>
  <c r="D39" i="1"/>
  <c r="B229" i="1"/>
  <c r="D228" i="1"/>
  <c r="B494" i="1"/>
  <c r="D493" i="1"/>
  <c r="B166" i="1"/>
  <c r="D165" i="1"/>
  <c r="B355" i="1"/>
  <c r="D354" i="1"/>
  <c r="B103" i="1"/>
  <c r="D102" i="1"/>
  <c r="A39" i="1"/>
  <c r="A40" i="1" s="1"/>
  <c r="B356" i="1" l="1"/>
  <c r="D355" i="1"/>
  <c r="B495" i="1"/>
  <c r="D494" i="1"/>
  <c r="B41" i="1"/>
  <c r="D40" i="1"/>
  <c r="B104" i="1"/>
  <c r="D103" i="1"/>
  <c r="B167" i="1"/>
  <c r="D166" i="1"/>
  <c r="B230" i="1"/>
  <c r="D229" i="1"/>
  <c r="B292" i="1"/>
  <c r="D291" i="1"/>
  <c r="B231" i="1" l="1"/>
  <c r="D230" i="1"/>
  <c r="B496" i="1"/>
  <c r="D495" i="1"/>
  <c r="B293" i="1"/>
  <c r="D292" i="1"/>
  <c r="B168" i="1"/>
  <c r="D167" i="1"/>
  <c r="B42" i="1"/>
  <c r="D41" i="1"/>
  <c r="B357" i="1"/>
  <c r="D356" i="1"/>
  <c r="B105" i="1"/>
  <c r="D104" i="1"/>
  <c r="A41" i="1"/>
  <c r="A42" i="1" l="1"/>
  <c r="B169" i="1"/>
  <c r="D168" i="1"/>
  <c r="B358" i="1"/>
  <c r="D357" i="1"/>
  <c r="B497" i="1"/>
  <c r="D496" i="1"/>
  <c r="B106" i="1"/>
  <c r="D105" i="1"/>
  <c r="B43" i="1"/>
  <c r="D42" i="1"/>
  <c r="B294" i="1"/>
  <c r="D293" i="1"/>
  <c r="B232" i="1"/>
  <c r="D231" i="1"/>
  <c r="B359" i="1" l="1"/>
  <c r="D358" i="1"/>
  <c r="B107" i="1"/>
  <c r="D106" i="1"/>
  <c r="B233" i="1"/>
  <c r="D232" i="1"/>
  <c r="B44" i="1"/>
  <c r="D43" i="1"/>
  <c r="B498" i="1"/>
  <c r="D497" i="1"/>
  <c r="B170" i="1"/>
  <c r="D169" i="1"/>
  <c r="B295" i="1"/>
  <c r="D294" i="1"/>
  <c r="A43" i="1"/>
  <c r="A44" i="1" l="1"/>
  <c r="B171" i="1"/>
  <c r="D170" i="1"/>
  <c r="B45" i="1"/>
  <c r="D44" i="1"/>
  <c r="B108" i="1"/>
  <c r="D107" i="1"/>
  <c r="B296" i="1"/>
  <c r="D295" i="1"/>
  <c r="B499" i="1"/>
  <c r="D498" i="1"/>
  <c r="B234" i="1"/>
  <c r="D233" i="1"/>
  <c r="B360" i="1"/>
  <c r="D359" i="1"/>
  <c r="A45" i="1" l="1"/>
  <c r="B361" i="1"/>
  <c r="D360" i="1"/>
  <c r="B500" i="1"/>
  <c r="D499" i="1"/>
  <c r="B235" i="1"/>
  <c r="D234" i="1"/>
  <c r="B297" i="1"/>
  <c r="D296" i="1"/>
  <c r="B46" i="1"/>
  <c r="D45" i="1"/>
  <c r="B109" i="1"/>
  <c r="D108" i="1"/>
  <c r="B172" i="1"/>
  <c r="D171" i="1"/>
  <c r="B298" i="1" l="1"/>
  <c r="D297" i="1"/>
  <c r="B47" i="1"/>
  <c r="D46" i="1"/>
  <c r="B236" i="1"/>
  <c r="D235" i="1"/>
  <c r="B362" i="1"/>
  <c r="D361" i="1"/>
  <c r="B110" i="1"/>
  <c r="D109" i="1"/>
  <c r="B501" i="1"/>
  <c r="D500" i="1"/>
  <c r="B173" i="1"/>
  <c r="D172" i="1"/>
  <c r="A46" i="1"/>
  <c r="A47" i="1" s="1"/>
  <c r="B502" i="1" l="1"/>
  <c r="D501" i="1"/>
  <c r="B363" i="1"/>
  <c r="D362" i="1"/>
  <c r="B48" i="1"/>
  <c r="D47" i="1"/>
  <c r="B174" i="1"/>
  <c r="D173" i="1"/>
  <c r="B111" i="1"/>
  <c r="D110" i="1"/>
  <c r="B237" i="1"/>
  <c r="D236" i="1"/>
  <c r="B299" i="1"/>
  <c r="D298" i="1"/>
  <c r="B364" i="1" l="1"/>
  <c r="D363" i="1"/>
  <c r="B175" i="1"/>
  <c r="D174" i="1"/>
  <c r="B112" i="1"/>
  <c r="D111" i="1"/>
  <c r="B49" i="1"/>
  <c r="D48" i="1"/>
  <c r="B503" i="1"/>
  <c r="D502" i="1"/>
  <c r="B238" i="1"/>
  <c r="D237" i="1"/>
  <c r="B300" i="1"/>
  <c r="D299" i="1"/>
  <c r="A48" i="1"/>
  <c r="A49" i="1" l="1"/>
  <c r="B239" i="1"/>
  <c r="D238" i="1"/>
  <c r="B50" i="1"/>
  <c r="D49" i="1"/>
  <c r="B176" i="1"/>
  <c r="D175" i="1"/>
  <c r="B301" i="1"/>
  <c r="D300" i="1"/>
  <c r="B504" i="1"/>
  <c r="D503" i="1"/>
  <c r="B113" i="1"/>
  <c r="D112" i="1"/>
  <c r="B365" i="1"/>
  <c r="D364" i="1"/>
  <c r="B114" i="1" l="1"/>
  <c r="D113" i="1"/>
  <c r="B51" i="1"/>
  <c r="D50" i="1"/>
  <c r="B505" i="1"/>
  <c r="D504" i="1"/>
  <c r="B177" i="1"/>
  <c r="D176" i="1"/>
  <c r="B240" i="1"/>
  <c r="D239" i="1"/>
  <c r="B302" i="1"/>
  <c r="D301" i="1"/>
  <c r="B366" i="1"/>
  <c r="D365" i="1"/>
  <c r="A50" i="1"/>
  <c r="A51" i="1" s="1"/>
  <c r="D505" i="1" l="1"/>
  <c r="B303" i="1"/>
  <c r="D302" i="1"/>
  <c r="B178" i="1"/>
  <c r="D177" i="1"/>
  <c r="B52" i="1"/>
  <c r="D51" i="1"/>
  <c r="B367" i="1"/>
  <c r="D366" i="1"/>
  <c r="B241" i="1"/>
  <c r="D240" i="1"/>
  <c r="B115" i="1"/>
  <c r="D114" i="1"/>
  <c r="B179" i="1" l="1"/>
  <c r="D178" i="1"/>
  <c r="B116" i="1"/>
  <c r="D115" i="1"/>
  <c r="B242" i="1"/>
  <c r="D241" i="1"/>
  <c r="B53" i="1"/>
  <c r="D52" i="1"/>
  <c r="B304" i="1"/>
  <c r="D303" i="1"/>
  <c r="B368" i="1"/>
  <c r="D367" i="1"/>
  <c r="A52" i="1"/>
  <c r="A53" i="1" l="1"/>
  <c r="B369" i="1"/>
  <c r="D368" i="1"/>
  <c r="B54" i="1"/>
  <c r="D53" i="1"/>
  <c r="B117" i="1"/>
  <c r="D116" i="1"/>
  <c r="B305" i="1"/>
  <c r="D304" i="1"/>
  <c r="B243" i="1"/>
  <c r="D242" i="1"/>
  <c r="B180" i="1"/>
  <c r="D179" i="1"/>
  <c r="A54" i="1" l="1"/>
  <c r="B306" i="1"/>
  <c r="D305" i="1"/>
  <c r="B55" i="1"/>
  <c r="D54" i="1"/>
  <c r="B181" i="1"/>
  <c r="D180" i="1"/>
  <c r="B244" i="1"/>
  <c r="D243" i="1"/>
  <c r="B118" i="1"/>
  <c r="D117" i="1"/>
  <c r="B370" i="1"/>
  <c r="D369" i="1"/>
  <c r="B245" i="1" l="1"/>
  <c r="D244" i="1"/>
  <c r="B56" i="1"/>
  <c r="D55" i="1"/>
  <c r="A55" i="1"/>
  <c r="B371" i="1"/>
  <c r="D370" i="1"/>
  <c r="B119" i="1"/>
  <c r="D118" i="1"/>
  <c r="B182" i="1"/>
  <c r="D181" i="1"/>
  <c r="B307" i="1"/>
  <c r="D306" i="1"/>
  <c r="A56" i="1" l="1"/>
  <c r="B57" i="1"/>
  <c r="D56" i="1"/>
  <c r="B308" i="1"/>
  <c r="D307" i="1"/>
  <c r="B120" i="1"/>
  <c r="D119" i="1"/>
  <c r="B183" i="1"/>
  <c r="D182" i="1"/>
  <c r="B372" i="1"/>
  <c r="D371" i="1"/>
  <c r="B246" i="1"/>
  <c r="D245" i="1"/>
  <c r="A57" i="1" l="1"/>
  <c r="B184" i="1"/>
  <c r="D183" i="1"/>
  <c r="B309" i="1"/>
  <c r="D308" i="1"/>
  <c r="B247" i="1"/>
  <c r="D246" i="1"/>
  <c r="B373" i="1"/>
  <c r="D372" i="1"/>
  <c r="B121" i="1"/>
  <c r="D120" i="1"/>
  <c r="B58" i="1"/>
  <c r="D57" i="1"/>
  <c r="B374" i="1" l="1"/>
  <c r="D373" i="1"/>
  <c r="B59" i="1"/>
  <c r="D58" i="1"/>
  <c r="B310" i="1"/>
  <c r="D309" i="1"/>
  <c r="B122" i="1"/>
  <c r="D121" i="1"/>
  <c r="B248" i="1"/>
  <c r="D247" i="1"/>
  <c r="B185" i="1"/>
  <c r="D184" i="1"/>
  <c r="A58" i="1"/>
  <c r="A59" i="1" l="1"/>
  <c r="B186" i="1"/>
  <c r="D185" i="1"/>
  <c r="B123" i="1"/>
  <c r="D122" i="1"/>
  <c r="B60" i="1"/>
  <c r="D59" i="1"/>
  <c r="B249" i="1"/>
  <c r="D248" i="1"/>
  <c r="B311" i="1"/>
  <c r="D310" i="1"/>
  <c r="B375" i="1"/>
  <c r="D374" i="1"/>
  <c r="A60" i="1" l="1"/>
  <c r="B124" i="1"/>
  <c r="D123" i="1"/>
  <c r="B250" i="1"/>
  <c r="D249" i="1"/>
  <c r="B312" i="1"/>
  <c r="D311" i="1"/>
  <c r="B376" i="1"/>
  <c r="D375" i="1"/>
  <c r="B61" i="1"/>
  <c r="D60" i="1"/>
  <c r="B187" i="1"/>
  <c r="D186" i="1"/>
  <c r="B377" i="1" l="1"/>
  <c r="D376" i="1"/>
  <c r="B188" i="1"/>
  <c r="D187" i="1"/>
  <c r="B251" i="1"/>
  <c r="D250" i="1"/>
  <c r="B62" i="1"/>
  <c r="D61" i="1"/>
  <c r="B313" i="1"/>
  <c r="D312" i="1"/>
  <c r="B125" i="1"/>
  <c r="D124" i="1"/>
  <c r="A61" i="1"/>
  <c r="A62" i="1" l="1"/>
  <c r="B126" i="1"/>
  <c r="D125" i="1"/>
  <c r="B63" i="1"/>
  <c r="D62" i="1"/>
  <c r="B189" i="1"/>
  <c r="D188" i="1"/>
  <c r="B314" i="1"/>
  <c r="D313" i="1"/>
  <c r="B252" i="1"/>
  <c r="D251" i="1"/>
  <c r="B378" i="1"/>
  <c r="D377" i="1"/>
  <c r="A63" i="1" l="1"/>
  <c r="B379" i="1"/>
  <c r="D378" i="1"/>
  <c r="B64" i="1"/>
  <c r="D63" i="1"/>
  <c r="B315" i="1"/>
  <c r="D314" i="1"/>
  <c r="B253" i="1"/>
  <c r="D252" i="1"/>
  <c r="B190" i="1"/>
  <c r="D189" i="1"/>
  <c r="B127" i="1"/>
  <c r="D126" i="1"/>
  <c r="B65" i="1" l="1"/>
  <c r="D65" i="1" s="1"/>
  <c r="D64" i="1"/>
  <c r="A64" i="1"/>
  <c r="B254" i="1"/>
  <c r="D254" i="1" s="1"/>
  <c r="D253" i="1"/>
  <c r="B191" i="1"/>
  <c r="D191" i="1" s="1"/>
  <c r="D190" i="1"/>
  <c r="B316" i="1"/>
  <c r="D315" i="1"/>
  <c r="B128" i="1"/>
  <c r="D128" i="1" s="1"/>
  <c r="D127" i="1"/>
  <c r="B380" i="1"/>
  <c r="D380" i="1" s="1"/>
  <c r="D379" i="1"/>
  <c r="B317" i="1" l="1"/>
  <c r="D317" i="1" s="1"/>
  <c r="I39" i="2" s="1"/>
  <c r="D316" i="1"/>
  <c r="J5" i="2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1" i="1" l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90" i="1"/>
  <c r="M45" i="2"/>
  <c r="L45" i="2"/>
  <c r="I42" i="2"/>
  <c r="L44" i="2"/>
  <c r="L42" i="2"/>
  <c r="E43" i="2"/>
  <c r="E19" i="3" s="1"/>
  <c r="M17" i="2"/>
  <c r="I44" i="2"/>
  <c r="F42" i="2"/>
  <c r="G43" i="2"/>
  <c r="G19" i="3" s="1"/>
  <c r="E16" i="2"/>
  <c r="M21" i="2"/>
  <c r="J9" i="2"/>
  <c r="H31" i="2"/>
  <c r="H36" i="2"/>
  <c r="L40" i="2"/>
  <c r="H38" i="2"/>
  <c r="J29" i="2"/>
  <c r="I20" i="2"/>
  <c r="K18" i="2"/>
  <c r="H23" i="2"/>
  <c r="M36" i="2"/>
  <c r="G40" i="2"/>
  <c r="J17" i="2"/>
  <c r="K44" i="2"/>
  <c r="E10" i="2"/>
  <c r="M14" i="2"/>
  <c r="M40" i="2"/>
  <c r="E40" i="2"/>
  <c r="J40" i="2"/>
  <c r="I38" i="2"/>
  <c r="L38" i="2"/>
  <c r="F43" i="2"/>
  <c r="F19" i="3" s="1"/>
  <c r="E17" i="2"/>
  <c r="F45" i="2"/>
  <c r="K45" i="2"/>
  <c r="K42" i="2"/>
  <c r="K39" i="2"/>
  <c r="H43" i="2"/>
  <c r="H19" i="3" s="1"/>
  <c r="I45" i="2"/>
  <c r="K43" i="2"/>
  <c r="K19" i="3" s="1"/>
  <c r="F39" i="2"/>
  <c r="H17" i="2"/>
  <c r="M43" i="2"/>
  <c r="M19" i="3" s="1"/>
  <c r="I17" i="2"/>
  <c r="J44" i="2"/>
  <c r="H39" i="2"/>
  <c r="M44" i="2"/>
  <c r="G45" i="2"/>
  <c r="I43" i="2"/>
  <c r="I19" i="3" s="1"/>
  <c r="G42" i="2"/>
  <c r="L17" i="2"/>
  <c r="L43" i="2"/>
  <c r="L19" i="3" s="1"/>
  <c r="K17" i="2"/>
  <c r="J45" i="2"/>
  <c r="F44" i="2"/>
  <c r="I37" i="2"/>
  <c r="L37" i="2"/>
  <c r="K33" i="2"/>
  <c r="J13" i="2"/>
  <c r="G31" i="2"/>
  <c r="L35" i="2"/>
  <c r="F31" i="2"/>
  <c r="F11" i="2"/>
  <c r="E12" i="2"/>
  <c r="K12" i="2"/>
  <c r="I36" i="2"/>
  <c r="F23" i="2"/>
  <c r="E33" i="2"/>
  <c r="M29" i="2"/>
  <c r="J16" i="2"/>
  <c r="K34" i="2"/>
  <c r="E11" i="2"/>
  <c r="F41" i="2"/>
  <c r="L28" i="2"/>
  <c r="M12" i="2"/>
  <c r="E15" i="2"/>
  <c r="K16" i="2"/>
  <c r="J21" i="2"/>
  <c r="L12" i="2"/>
  <c r="M34" i="2"/>
  <c r="G27" i="2"/>
  <c r="I26" i="2"/>
  <c r="L30" i="2"/>
  <c r="J18" i="2"/>
  <c r="M15" i="2"/>
  <c r="M24" i="2"/>
  <c r="E32" i="2"/>
  <c r="E31" i="3" s="1"/>
  <c r="G21" i="2"/>
  <c r="L13" i="2"/>
  <c r="H20" i="2"/>
  <c r="M18" i="2"/>
  <c r="H25" i="2"/>
  <c r="H26" i="2"/>
  <c r="H35" i="2"/>
  <c r="J11" i="2"/>
  <c r="J46" i="2"/>
  <c r="J10" i="3" s="1"/>
  <c r="K31" i="2"/>
  <c r="I31" i="2"/>
  <c r="L11" i="2"/>
  <c r="I3" i="2"/>
  <c r="I4" i="3" s="1"/>
  <c r="F25" i="2"/>
  <c r="I16" i="2"/>
  <c r="F35" i="2"/>
  <c r="H32" i="2"/>
  <c r="H31" i="3" s="1"/>
  <c r="F20" i="2"/>
  <c r="G6" i="2"/>
  <c r="F27" i="2"/>
  <c r="K46" i="2"/>
  <c r="K10" i="3" s="1"/>
  <c r="L41" i="2"/>
  <c r="J33" i="2"/>
  <c r="M35" i="2"/>
  <c r="L22" i="2"/>
  <c r="G26" i="2"/>
  <c r="G28" i="2"/>
  <c r="L33" i="2"/>
  <c r="F14" i="2"/>
  <c r="M22" i="2"/>
  <c r="J4" i="2"/>
  <c r="M33" i="2"/>
  <c r="E6" i="2"/>
  <c r="E22" i="2"/>
  <c r="E24" i="2"/>
  <c r="F12" i="2"/>
  <c r="J30" i="2"/>
  <c r="G35" i="2"/>
  <c r="E8" i="2"/>
  <c r="J6" i="2"/>
  <c r="K8" i="2"/>
  <c r="E7" i="2"/>
  <c r="M5" i="2"/>
  <c r="K6" i="2"/>
  <c r="K8" i="3" s="1"/>
  <c r="M8" i="2"/>
  <c r="E3" i="2"/>
  <c r="E4" i="3" s="1"/>
  <c r="F13" i="2"/>
  <c r="H37" i="2"/>
  <c r="E36" i="2"/>
  <c r="I25" i="2"/>
  <c r="G25" i="2"/>
  <c r="J24" i="2"/>
  <c r="M28" i="2"/>
  <c r="I27" i="2"/>
  <c r="M16" i="2"/>
  <c r="J41" i="2"/>
  <c r="E13" i="2"/>
  <c r="I18" i="2"/>
  <c r="E14" i="2"/>
  <c r="J23" i="2"/>
  <c r="H46" i="2"/>
  <c r="H10" i="3" s="1"/>
  <c r="I34" i="2"/>
  <c r="J22" i="2"/>
  <c r="J14" i="2"/>
  <c r="M32" i="2"/>
  <c r="M31" i="3" s="1"/>
  <c r="K20" i="2"/>
  <c r="G29" i="2"/>
  <c r="G11" i="2"/>
  <c r="M10" i="2"/>
  <c r="G8" i="2"/>
  <c r="H21" i="2"/>
  <c r="G37" i="2"/>
  <c r="I22" i="2"/>
  <c r="E20" i="2"/>
  <c r="E33" i="3" s="1"/>
  <c r="J35" i="2"/>
  <c r="F29" i="2"/>
  <c r="K19" i="2"/>
  <c r="E9" i="2"/>
  <c r="L16" i="2"/>
  <c r="K22" i="2"/>
  <c r="G22" i="2"/>
  <c r="L29" i="2"/>
  <c r="G12" i="2"/>
  <c r="H19" i="2"/>
  <c r="F3" i="2"/>
  <c r="F4" i="3" s="1"/>
  <c r="L15" i="2"/>
  <c r="K21" i="2"/>
  <c r="H9" i="2"/>
  <c r="H29" i="2"/>
  <c r="G41" i="2"/>
  <c r="M25" i="2"/>
  <c r="M19" i="2"/>
  <c r="K25" i="2"/>
  <c r="E37" i="2"/>
  <c r="F8" i="2"/>
  <c r="H41" i="2"/>
  <c r="J3" i="2"/>
  <c r="J4" i="3" s="1"/>
  <c r="J20" i="2"/>
  <c r="I10" i="2"/>
  <c r="I7" i="2"/>
  <c r="F15" i="2"/>
  <c r="M46" i="2"/>
  <c r="M10" i="3" s="1"/>
  <c r="J25" i="2"/>
  <c r="I46" i="2"/>
  <c r="I10" i="3" s="1"/>
  <c r="I29" i="2"/>
  <c r="F37" i="2"/>
  <c r="H12" i="2"/>
  <c r="I28" i="2"/>
  <c r="F6" i="2"/>
  <c r="J19" i="2"/>
  <c r="L8" i="2"/>
  <c r="L7" i="2"/>
  <c r="H7" i="2"/>
  <c r="G4" i="2"/>
  <c r="L5" i="2"/>
  <c r="J8" i="2"/>
  <c r="F4" i="2"/>
  <c r="G5" i="2"/>
  <c r="H45" i="2"/>
  <c r="M42" i="2"/>
  <c r="F17" i="2"/>
  <c r="J39" i="2"/>
  <c r="L39" i="2"/>
  <c r="E45" i="2"/>
  <c r="E44" i="2"/>
  <c r="J43" i="2"/>
  <c r="J19" i="3" s="1"/>
  <c r="E42" i="2"/>
  <c r="G44" i="2"/>
  <c r="H44" i="2"/>
  <c r="E39" i="2"/>
  <c r="G17" i="2"/>
  <c r="G38" i="2"/>
  <c r="F38" i="2"/>
  <c r="M38" i="2"/>
  <c r="I40" i="2"/>
  <c r="K38" i="2"/>
  <c r="G36" i="2"/>
  <c r="K27" i="2"/>
  <c r="I30" i="2"/>
  <c r="L31" i="2"/>
  <c r="J36" i="2"/>
  <c r="H16" i="2"/>
  <c r="K14" i="2"/>
  <c r="K36" i="2"/>
  <c r="K24" i="2"/>
  <c r="G18" i="2"/>
  <c r="G33" i="2"/>
  <c r="K13" i="2"/>
  <c r="I35" i="2"/>
  <c r="E27" i="2"/>
  <c r="H34" i="2"/>
  <c r="E19" i="2"/>
  <c r="L3" i="2"/>
  <c r="L4" i="3" s="1"/>
  <c r="G15" i="2"/>
  <c r="H18" i="2"/>
  <c r="K37" i="2"/>
  <c r="I21" i="2"/>
  <c r="I20" i="3" s="1"/>
  <c r="E25" i="2"/>
  <c r="E22" i="3" s="1"/>
  <c r="I32" i="2"/>
  <c r="I31" i="3" s="1"/>
  <c r="L21" i="2"/>
  <c r="G9" i="2"/>
  <c r="G23" i="2"/>
  <c r="F21" i="2"/>
  <c r="G19" i="2"/>
  <c r="E23" i="2"/>
  <c r="H11" i="2"/>
  <c r="I13" i="2"/>
  <c r="G32" i="2"/>
  <c r="G31" i="3" s="1"/>
  <c r="E41" i="2"/>
  <c r="I33" i="2"/>
  <c r="K32" i="2"/>
  <c r="K31" i="3" s="1"/>
  <c r="F26" i="2"/>
  <c r="G16" i="2"/>
  <c r="K41" i="2"/>
  <c r="L10" i="2"/>
  <c r="M23" i="2"/>
  <c r="H22" i="2"/>
  <c r="L32" i="2"/>
  <c r="L31" i="3" s="1"/>
  <c r="I24" i="2"/>
  <c r="K10" i="2"/>
  <c r="H24" i="2"/>
  <c r="H33" i="2"/>
  <c r="K11" i="2"/>
  <c r="K15" i="2"/>
  <c r="L46" i="2"/>
  <c r="L10" i="3" s="1"/>
  <c r="F7" i="2"/>
  <c r="J37" i="2"/>
  <c r="K5" i="2"/>
  <c r="L6" i="2"/>
  <c r="F9" i="2"/>
  <c r="F34" i="2"/>
  <c r="M4" i="2"/>
  <c r="F22" i="2"/>
  <c r="E30" i="2"/>
  <c r="M30" i="2"/>
  <c r="G10" i="2"/>
  <c r="K35" i="2"/>
  <c r="I14" i="2"/>
  <c r="I6" i="2"/>
  <c r="J32" i="2"/>
  <c r="J31" i="3" s="1"/>
  <c r="L24" i="2"/>
  <c r="I11" i="2"/>
  <c r="I11" i="3" s="1"/>
  <c r="L9" i="2"/>
  <c r="H27" i="2"/>
  <c r="J26" i="2"/>
  <c r="L4" i="2"/>
  <c r="I15" i="2"/>
  <c r="G14" i="2"/>
  <c r="E4" i="2"/>
  <c r="H4" i="2"/>
  <c r="I4" i="2"/>
  <c r="H5" i="2"/>
  <c r="H6" i="2"/>
  <c r="H8" i="2"/>
  <c r="K4" i="2"/>
  <c r="G7" i="2"/>
  <c r="G30" i="2"/>
  <c r="J42" i="2"/>
  <c r="G39" i="2"/>
  <c r="H42" i="2"/>
  <c r="M39" i="2"/>
  <c r="J38" i="2"/>
  <c r="K40" i="2"/>
  <c r="H40" i="2"/>
  <c r="F40" i="2"/>
  <c r="L36" i="2"/>
  <c r="E38" i="2"/>
  <c r="F32" i="2"/>
  <c r="F31" i="3" s="1"/>
  <c r="H10" i="2"/>
  <c r="K23" i="2"/>
  <c r="F28" i="2"/>
  <c r="J31" i="2"/>
  <c r="L27" i="2"/>
  <c r="G20" i="2"/>
  <c r="F36" i="2"/>
  <c r="I19" i="2"/>
  <c r="J12" i="2"/>
  <c r="M9" i="2"/>
  <c r="E46" i="2"/>
  <c r="E10" i="3" s="1"/>
  <c r="H15" i="2"/>
  <c r="H13" i="2"/>
  <c r="H14" i="2"/>
  <c r="F16" i="2"/>
  <c r="J28" i="2"/>
  <c r="F46" i="2"/>
  <c r="F10" i="3" s="1"/>
  <c r="H30" i="2"/>
  <c r="E35" i="2"/>
  <c r="F33" i="2"/>
  <c r="F5" i="2"/>
  <c r="F5" i="3" s="1"/>
  <c r="K29" i="2"/>
  <c r="M31" i="2"/>
  <c r="I41" i="2"/>
  <c r="M41" i="2"/>
  <c r="M17" i="3" s="1"/>
  <c r="P17" i="3" s="1"/>
  <c r="R17" i="3" s="1"/>
  <c r="E66" i="3" s="1"/>
  <c r="J10" i="2"/>
  <c r="E31" i="2"/>
  <c r="L26" i="2"/>
  <c r="E34" i="2"/>
  <c r="K30" i="2"/>
  <c r="G13" i="2"/>
  <c r="E26" i="2"/>
  <c r="M6" i="2"/>
  <c r="J27" i="2"/>
  <c r="H28" i="2"/>
  <c r="I12" i="2"/>
  <c r="L23" i="2"/>
  <c r="E5" i="2"/>
  <c r="E5" i="3" s="1"/>
  <c r="L18" i="2"/>
  <c r="I23" i="2"/>
  <c r="M20" i="2"/>
  <c r="M11" i="2"/>
  <c r="L20" i="2"/>
  <c r="M27" i="2"/>
  <c r="F30" i="2"/>
  <c r="G24" i="2"/>
  <c r="G24" i="3" s="1"/>
  <c r="L34" i="2"/>
  <c r="K28" i="2"/>
  <c r="E18" i="2"/>
  <c r="J34" i="2"/>
  <c r="I8" i="2"/>
  <c r="G3" i="2"/>
  <c r="G4" i="3" s="1"/>
  <c r="M13" i="2"/>
  <c r="L14" i="2"/>
  <c r="G46" i="2"/>
  <c r="G10" i="3" s="1"/>
  <c r="M26" i="2"/>
  <c r="L19" i="2"/>
  <c r="K26" i="2"/>
  <c r="J15" i="2"/>
  <c r="E29" i="2"/>
  <c r="F24" i="2"/>
  <c r="M37" i="2"/>
  <c r="K9" i="2"/>
  <c r="L25" i="2"/>
  <c r="G34" i="2"/>
  <c r="F18" i="2"/>
  <c r="E21" i="2"/>
  <c r="I9" i="2"/>
  <c r="E28" i="2"/>
  <c r="F19" i="2"/>
  <c r="F10" i="2"/>
  <c r="M7" i="2"/>
  <c r="I5" i="2"/>
  <c r="I5" i="3" s="1"/>
  <c r="K7" i="2"/>
  <c r="K3" i="2"/>
  <c r="K4" i="3" s="1"/>
  <c r="H3" i="2"/>
  <c r="H4" i="3" s="1"/>
  <c r="J7" i="2"/>
  <c r="M3" i="2"/>
  <c r="M4" i="3" s="1"/>
  <c r="M20" i="3" l="1"/>
  <c r="H24" i="3"/>
  <c r="F24" i="3"/>
  <c r="L24" i="3"/>
  <c r="K24" i="3"/>
  <c r="J24" i="3"/>
  <c r="I24" i="3"/>
  <c r="E24" i="3"/>
  <c r="M24" i="3"/>
  <c r="L33" i="3"/>
  <c r="L26" i="3" s="1"/>
  <c r="L21" i="3" s="1"/>
  <c r="F7" i="3"/>
  <c r="F20" i="3"/>
  <c r="I23" i="3"/>
  <c r="A154" i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153" i="1"/>
  <c r="M8" i="3"/>
  <c r="K11" i="3"/>
  <c r="M11" i="3"/>
  <c r="E17" i="3"/>
  <c r="L22" i="3"/>
  <c r="F23" i="3"/>
  <c r="J23" i="3"/>
  <c r="H17" i="3"/>
  <c r="J8" i="3"/>
  <c r="G9" i="3"/>
  <c r="G41" i="3" s="1"/>
  <c r="F9" i="3"/>
  <c r="F41" i="3" s="1"/>
  <c r="P19" i="3"/>
  <c r="R19" i="3" s="1"/>
  <c r="E68" i="3" s="1"/>
  <c r="M9" i="3"/>
  <c r="M41" i="3" s="1"/>
  <c r="E20" i="3"/>
  <c r="L6" i="3"/>
  <c r="I8" i="3"/>
  <c r="I9" i="3"/>
  <c r="I41" i="3" s="1"/>
  <c r="E34" i="3" a="1"/>
  <c r="E34" i="3" s="1"/>
  <c r="H9" i="3"/>
  <c r="H41" i="3" s="1"/>
  <c r="E9" i="3"/>
  <c r="E41" i="3" s="1"/>
  <c r="E37" i="3" a="1"/>
  <c r="E37" i="3" s="1"/>
  <c r="F6" i="3"/>
  <c r="L9" i="3"/>
  <c r="L41" i="3" s="1"/>
  <c r="E6" i="3"/>
  <c r="E35" i="3" a="1"/>
  <c r="E35" i="3" s="1"/>
  <c r="K9" i="3"/>
  <c r="K41" i="3" s="1"/>
  <c r="J9" i="3"/>
  <c r="J41" i="3" s="1"/>
  <c r="H16" i="3"/>
  <c r="H8" i="3"/>
  <c r="P10" i="3"/>
  <c r="R10" i="3" s="1"/>
  <c r="E62" i="3" s="1"/>
  <c r="F62" i="3" s="1"/>
  <c r="F18" i="3"/>
  <c r="G7" i="3"/>
  <c r="I17" i="3"/>
  <c r="G33" i="3"/>
  <c r="G26" i="3" s="1"/>
  <c r="G21" i="3" s="1"/>
  <c r="K17" i="3"/>
  <c r="H11" i="3"/>
  <c r="I6" i="3"/>
  <c r="I22" i="3"/>
  <c r="L8" i="3"/>
  <c r="F15" i="3"/>
  <c r="M33" i="3"/>
  <c r="H15" i="3"/>
  <c r="H18" i="3"/>
  <c r="H5" i="3"/>
  <c r="K5" i="3"/>
  <c r="G23" i="3"/>
  <c r="L20" i="3"/>
  <c r="E16" i="3"/>
  <c r="G11" i="3"/>
  <c r="J17" i="3"/>
  <c r="J15" i="3"/>
  <c r="L11" i="3"/>
  <c r="J11" i="3"/>
  <c r="M6" i="3"/>
  <c r="E23" i="3"/>
  <c r="F11" i="3"/>
  <c r="G16" i="3"/>
  <c r="F16" i="3"/>
  <c r="G18" i="3"/>
  <c r="I33" i="3"/>
  <c r="I26" i="3" s="1"/>
  <c r="I21" i="3" s="1"/>
  <c r="E7" i="3"/>
  <c r="K18" i="3"/>
  <c r="I15" i="3"/>
  <c r="K23" i="3"/>
  <c r="H6" i="3"/>
  <c r="I18" i="3"/>
  <c r="L5" i="3"/>
  <c r="J22" i="3"/>
  <c r="M22" i="3"/>
  <c r="K20" i="3"/>
  <c r="L7" i="3"/>
  <c r="H20" i="3"/>
  <c r="M7" i="3"/>
  <c r="G22" i="3"/>
  <c r="M5" i="3"/>
  <c r="E26" i="3"/>
  <c r="E21" i="3" s="1"/>
  <c r="E15" i="3"/>
  <c r="G8" i="3"/>
  <c r="I7" i="3"/>
  <c r="H33" i="3"/>
  <c r="H26" i="3" s="1"/>
  <c r="H21" i="3" s="1"/>
  <c r="M26" i="3"/>
  <c r="M21" i="3" s="1"/>
  <c r="M15" i="3"/>
  <c r="P15" i="3" s="1"/>
  <c r="R15" i="3" s="1"/>
  <c r="E64" i="3" s="1"/>
  <c r="J20" i="3"/>
  <c r="J7" i="3"/>
  <c r="J16" i="3"/>
  <c r="M16" i="3"/>
  <c r="P16" i="3" s="1"/>
  <c r="R16" i="3" s="1"/>
  <c r="E65" i="3" s="1"/>
  <c r="J18" i="3"/>
  <c r="L23" i="3"/>
  <c r="G6" i="3"/>
  <c r="H7" i="3"/>
  <c r="G5" i="3"/>
  <c r="J33" i="3"/>
  <c r="J26" i="3" s="1"/>
  <c r="J21" i="3" s="1"/>
  <c r="G17" i="3"/>
  <c r="K33" i="3"/>
  <c r="K26" i="3" s="1"/>
  <c r="K21" i="3" s="1"/>
  <c r="P4" i="3"/>
  <c r="R4" i="3" s="1"/>
  <c r="E57" i="3" s="1"/>
  <c r="L17" i="3"/>
  <c r="F33" i="3"/>
  <c r="F26" i="3" s="1"/>
  <c r="F21" i="3" s="1"/>
  <c r="F22" i="3"/>
  <c r="K7" i="3"/>
  <c r="F17" i="3"/>
  <c r="L16" i="3"/>
  <c r="E18" i="3"/>
  <c r="G15" i="3"/>
  <c r="L15" i="3"/>
  <c r="K15" i="3"/>
  <c r="F8" i="3"/>
  <c r="K22" i="3"/>
  <c r="M23" i="3"/>
  <c r="E8" i="3"/>
  <c r="H23" i="3"/>
  <c r="H22" i="3"/>
  <c r="G20" i="3"/>
  <c r="J6" i="3"/>
  <c r="E11" i="3"/>
  <c r="J5" i="3"/>
  <c r="I16" i="3"/>
  <c r="K16" i="3"/>
  <c r="M18" i="3"/>
  <c r="P18" i="3" s="1"/>
  <c r="R18" i="3" s="1"/>
  <c r="E67" i="3" s="1"/>
  <c r="F67" i="3" s="1"/>
  <c r="K6" i="3"/>
  <c r="L18" i="3"/>
  <c r="P20" i="3" l="1"/>
  <c r="R20" i="3" s="1"/>
  <c r="E69" i="3" s="1"/>
  <c r="A217" i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16" i="1"/>
  <c r="P24" i="3"/>
  <c r="R24" i="3" s="1"/>
  <c r="E73" i="3" s="1"/>
  <c r="E38" i="3"/>
  <c r="E43" i="3" s="1"/>
  <c r="P5" i="3"/>
  <c r="R5" i="3" s="1"/>
  <c r="E58" i="3" s="1"/>
  <c r="P11" i="3"/>
  <c r="R11" i="3" s="1"/>
  <c r="E63" i="3" s="1"/>
  <c r="P8" i="3"/>
  <c r="R8" i="3" s="1"/>
  <c r="E61" i="3" s="1"/>
  <c r="P22" i="3"/>
  <c r="R22" i="3" s="1"/>
  <c r="E71" i="3" s="1"/>
  <c r="P6" i="3"/>
  <c r="R6" i="3" s="1"/>
  <c r="E59" i="3" s="1"/>
  <c r="F59" i="3" s="1"/>
  <c r="P7" i="3"/>
  <c r="R7" i="3" s="1"/>
  <c r="E60" i="3" s="1"/>
  <c r="P21" i="3"/>
  <c r="R21" i="3" s="1"/>
  <c r="E70" i="3" s="1"/>
  <c r="P23" i="3"/>
  <c r="R23" i="3" s="1"/>
  <c r="E72" i="3" s="1"/>
  <c r="A280" i="1" l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279" i="1"/>
  <c r="E44" i="3"/>
  <c r="A343" i="1" l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342" i="1"/>
  <c r="E50" i="3"/>
  <c r="E46" i="3"/>
  <c r="A405" i="1" l="1"/>
  <c r="A406" i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9" i="1" l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468" i="1"/>
  <c r="M37" i="3"/>
  <c r="L37" i="3"/>
  <c r="K37" i="3"/>
  <c r="J37" i="3"/>
  <c r="I37" i="3"/>
  <c r="H37" i="3"/>
  <c r="G37" i="3"/>
  <c r="F37" i="3"/>
  <c r="M35" i="3"/>
  <c r="L35" i="3"/>
  <c r="K35" i="3"/>
  <c r="J35" i="3"/>
  <c r="I35" i="3"/>
  <c r="H35" i="3"/>
  <c r="G35" i="3"/>
  <c r="F35" i="3"/>
  <c r="M34" i="3"/>
  <c r="M38" i="3" s="1"/>
  <c r="L34" i="3"/>
  <c r="K34" i="3"/>
  <c r="K38" i="3" s="1"/>
  <c r="J34" i="3"/>
  <c r="J38" i="3" s="1"/>
  <c r="I34" i="3"/>
  <c r="I38" i="3" s="1"/>
  <c r="H34" i="3"/>
  <c r="G34" i="3"/>
  <c r="G38" i="3" s="1"/>
  <c r="F34" i="3"/>
  <c r="H38" i="3" l="1"/>
  <c r="G40" i="3" s="1"/>
  <c r="G45" i="3" s="1"/>
  <c r="G51" i="3" s="1"/>
  <c r="F38" i="3"/>
  <c r="F40" i="3" s="1"/>
  <c r="F45" i="3" s="1"/>
  <c r="F51" i="3" s="1"/>
  <c r="L38" i="3"/>
  <c r="K40" i="3" s="1"/>
  <c r="K45" i="3" s="1"/>
  <c r="K51" i="3" s="1"/>
  <c r="I43" i="3"/>
  <c r="I44" i="3" s="1"/>
  <c r="M43" i="3"/>
  <c r="M44" i="3" s="1"/>
  <c r="M40" i="3"/>
  <c r="M45" i="3" s="1"/>
  <c r="M51" i="3" s="1"/>
  <c r="J43" i="3"/>
  <c r="J44" i="3" s="1"/>
  <c r="I40" i="3"/>
  <c r="I45" i="3" s="1"/>
  <c r="I51" i="3" s="1"/>
  <c r="H43" i="3"/>
  <c r="H44" i="3" s="1"/>
  <c r="G43" i="3"/>
  <c r="G44" i="3" s="1"/>
  <c r="K43" i="3"/>
  <c r="K44" i="3" s="1"/>
  <c r="J40" i="3"/>
  <c r="J45" i="3" s="1"/>
  <c r="J51" i="3" s="1"/>
  <c r="H40" i="3" l="1"/>
  <c r="H45" i="3" s="1"/>
  <c r="H51" i="3" s="1"/>
  <c r="L40" i="3"/>
  <c r="L45" i="3" s="1"/>
  <c r="L51" i="3" s="1"/>
  <c r="E40" i="3"/>
  <c r="E45" i="3" s="1"/>
  <c r="E51" i="3" s="1"/>
  <c r="F43" i="3"/>
  <c r="F44" i="3" s="1"/>
  <c r="L43" i="3"/>
  <c r="L44" i="3" s="1"/>
  <c r="L50" i="3" s="1"/>
  <c r="G50" i="3"/>
  <c r="G46" i="3"/>
  <c r="M50" i="3"/>
  <c r="M46" i="3"/>
  <c r="J50" i="3"/>
  <c r="J46" i="3"/>
  <c r="H50" i="3"/>
  <c r="H46" i="3"/>
  <c r="I50" i="3"/>
  <c r="I46" i="3"/>
  <c r="K50" i="3"/>
  <c r="K46" i="3"/>
  <c r="P45" i="3" l="1"/>
  <c r="R45" i="3" s="1"/>
  <c r="E76" i="3" s="1"/>
  <c r="L46" i="3"/>
  <c r="P43" i="3"/>
  <c r="R43" i="3" s="1"/>
  <c r="E74" i="3" s="1"/>
  <c r="F74" i="3" s="1"/>
  <c r="F46" i="3"/>
  <c r="F50" i="3"/>
  <c r="P44" i="3" s="1"/>
  <c r="R44" i="3" s="1"/>
  <c r="E75" i="3" s="1"/>
  <c r="F75" i="3" s="1"/>
  <c r="P46" i="3" l="1"/>
  <c r="R46" i="3" s="1"/>
  <c r="E77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<sst xmlns="http://schemas.openxmlformats.org/spreadsheetml/2006/main" count="830" uniqueCount="200">
  <si>
    <t>commonStockSharesOutstanding</t>
  </si>
  <si>
    <t>commonStock</t>
  </si>
  <si>
    <t>retainedEarnings</t>
  </si>
  <si>
    <t>treasuryStock</t>
  </si>
  <si>
    <t>totalShareholderEquity</t>
  </si>
  <si>
    <t>otherNonCurrentLiabilities</t>
  </si>
  <si>
    <t>otherCurrentLiabilities</t>
  </si>
  <si>
    <t>shortLongTermDebtTotal</t>
  </si>
  <si>
    <t>longTermDebtNoncurrent</t>
  </si>
  <si>
    <t>currentLongTermDebt</t>
  </si>
  <si>
    <t>longTermDebt</t>
  </si>
  <si>
    <t>capitalLeaseObligations</t>
  </si>
  <si>
    <t>totalNonCurrentLiabilities</t>
  </si>
  <si>
    <t>shortTermDebt</t>
  </si>
  <si>
    <t>currentDebt</t>
  </si>
  <si>
    <t>deferredRevenue</t>
  </si>
  <si>
    <t>currentAccountsPayable</t>
  </si>
  <si>
    <t>totalCurrentLiabilities</t>
  </si>
  <si>
    <t>totalLiabilities</t>
  </si>
  <si>
    <t>otherNonCurrentAssets</t>
  </si>
  <si>
    <t>otherCurrentAssets</t>
  </si>
  <si>
    <t>shortTermInvestments</t>
  </si>
  <si>
    <t>longTermInvestments</t>
  </si>
  <si>
    <t>investments</t>
  </si>
  <si>
    <t>goodwill</t>
  </si>
  <si>
    <t>intangibleAssetsExcludingGoodwill</t>
  </si>
  <si>
    <t>intangibleAssets</t>
  </si>
  <si>
    <t>accumulatedDepreciationAmortizationPPE</t>
  </si>
  <si>
    <t>propertyPlantEquipment</t>
  </si>
  <si>
    <t>totalNonCurrentAssets</t>
  </si>
  <si>
    <t>currentNetReceivables</t>
  </si>
  <si>
    <t>inventory</t>
  </si>
  <si>
    <t>cashAndShortTermInvestments</t>
  </si>
  <si>
    <t>cashAndCashEquivalentsAtCarryingValue</t>
  </si>
  <si>
    <t>totalCurrentAssets</t>
  </si>
  <si>
    <t>totalAssets</t>
  </si>
  <si>
    <t>2015-09-30</t>
  </si>
  <si>
    <t>2016-09-30</t>
  </si>
  <si>
    <t>2017-09-30</t>
  </si>
  <si>
    <t>2018-09-30</t>
  </si>
  <si>
    <t>2019-09-30</t>
  </si>
  <si>
    <t>2020-09-30</t>
  </si>
  <si>
    <t>2021-09-30</t>
  </si>
  <si>
    <t>2022-09-30</t>
  </si>
  <si>
    <t>2023-09-30</t>
  </si>
  <si>
    <t>AAPL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</si>
  <si>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</si>
  <si>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</si>
  <si>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</si>
  <si>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</si>
  <si>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</si>
  <si>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</si>
  <si>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</si>
  <si>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</si>
  <si>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</si>
  <si>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</si>
  <si>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</si>
  <si>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</si>
  <si>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</si>
  <si>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</si>
  <si>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</si>
  <si>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</si>
  <si>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</si>
  <si>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</si>
  <si>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</si>
  <si>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</si>
  <si>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</si>
  <si>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</si>
  <si>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</si>
  <si>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</si>
  <si>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</si>
  <si>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</si>
  <si>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</si>
  <si>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</si>
  <si>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</si>
  <si>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</si>
  <si>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</si>
  <si>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</si>
  <si>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</si>
  <si>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AMZN</t>
  </si>
  <si>
    <t>GOOGL</t>
  </si>
  <si>
    <t>KO</t>
  </si>
  <si>
    <t>META</t>
  </si>
  <si>
    <t>2023-06-30</t>
  </si>
  <si>
    <t>2022-06-30</t>
  </si>
  <si>
    <t>2021-06-30</t>
  </si>
  <si>
    <t>2020-06-30</t>
  </si>
  <si>
    <t>2019-06-30</t>
  </si>
  <si>
    <t>2018-06-30</t>
  </si>
  <si>
    <t>2017-06-30</t>
  </si>
  <si>
    <t>2016-06-30</t>
  </si>
  <si>
    <t>2015-06-30</t>
  </si>
  <si>
    <t>MSTF</t>
  </si>
  <si>
    <t>2024-01-28</t>
  </si>
  <si>
    <t>2023-01-29</t>
  </si>
  <si>
    <t>2022-01-30</t>
  </si>
  <si>
    <t>2021-01-31</t>
  </si>
  <si>
    <t>2020-01-26</t>
  </si>
  <si>
    <t>2019-01-27</t>
  </si>
  <si>
    <t>2018-01-28</t>
  </si>
  <si>
    <t>2017-01-29</t>
  </si>
  <si>
    <t>2016-01-31</t>
  </si>
  <si>
    <t>NVDA</t>
  </si>
  <si>
    <t>TSLA</t>
  </si>
  <si>
    <t>EMPRESA</t>
  </si>
  <si>
    <t>CAMPOS GENERALES</t>
  </si>
  <si>
    <t>NOMBRES UNICOS PARA CADA EMPRESA</t>
  </si>
  <si>
    <t>TARGET</t>
  </si>
  <si>
    <t>ANALISIS DEL ESTADO DE RESUTADO</t>
  </si>
  <si>
    <t>1. Crecimiento de las ventas</t>
  </si>
  <si>
    <t>2. Margen Bruto</t>
  </si>
  <si>
    <t>3. Margen operativo</t>
  </si>
  <si>
    <t>4. Margen Neto</t>
  </si>
  <si>
    <t>5. Investigacion y Desarrollo / EBIT</t>
  </si>
  <si>
    <t>6. Tasa impositiva</t>
  </si>
  <si>
    <t>8. Intereses / EBIT</t>
  </si>
  <si>
    <t>ANALISIS DEL BALANCE</t>
  </si>
  <si>
    <t>9. Liquidez Corriente</t>
  </si>
  <si>
    <t>10. Endeudamiento (D/E)</t>
  </si>
  <si>
    <t>11. Pasivo LP / Ganancia Neta Promedio</t>
  </si>
  <si>
    <t>12. Crecimiento de Ganacias Retenidas</t>
  </si>
  <si>
    <t>13. Rotacion de Inventarios</t>
  </si>
  <si>
    <t>14. Rotacion de Working Capital</t>
  </si>
  <si>
    <t>15. Rotacion de Planta y Equipo</t>
  </si>
  <si>
    <t>16. Rotacion del Activo Total</t>
  </si>
  <si>
    <t>17. Net-Net</t>
  </si>
  <si>
    <t>Workin Capital (Current Assets - Exces Cash - Payables)</t>
  </si>
  <si>
    <t>Calculo del Capital</t>
  </si>
  <si>
    <t>Activo Total</t>
  </si>
  <si>
    <t>(-) Activos no operativos</t>
  </si>
  <si>
    <t xml:space="preserve">Exceso de Caja </t>
  </si>
  <si>
    <t>LongTerm Investments</t>
  </si>
  <si>
    <t>Goodwill</t>
  </si>
  <si>
    <t>(-) Pasivo Gratuito</t>
  </si>
  <si>
    <t>Payables</t>
  </si>
  <si>
    <t>(=) Capital</t>
  </si>
  <si>
    <t>Inversion Neta = Capital Proximo - Capital Actual</t>
  </si>
  <si>
    <t xml:space="preserve">NOPAT = EBIT (1-t) </t>
  </si>
  <si>
    <t>18. ROIC = NOPAT / CAPITAL INVERTIDO</t>
  </si>
  <si>
    <t>19. EVA = CAPITAL * (ROIC - WACC)</t>
  </si>
  <si>
    <t>RESUMEN</t>
  </si>
  <si>
    <t>ES CAPAZ DE MANTENER SU MARGEN OPERATIVO?</t>
  </si>
  <si>
    <t>7. Consistencia de EPS</t>
  </si>
  <si>
    <t>SON CONSISTENTES Y CRECIENTES?</t>
  </si>
  <si>
    <t>reportedEPS</t>
  </si>
  <si>
    <t>10. Endeudamiento (D/A)</t>
  </si>
  <si>
    <t>CRECIERON LAS GANANCIAS RETENIDAS?</t>
  </si>
  <si>
    <t>ANALISIS DE RENTABILIDAD Y VALOR</t>
  </si>
  <si>
    <t>SI EL CAPITAL ESTA CRECIENDO LA DIFERENCIA ES LO QUE HAY QUE INVERTIR</t>
  </si>
  <si>
    <t>WACC</t>
  </si>
  <si>
    <t>20. FCFF = NOPAT - INVERSION NETA</t>
  </si>
  <si>
    <t>21. EVA / REVENUE</t>
  </si>
  <si>
    <t>CAPITALIZACION FACTOR</t>
  </si>
  <si>
    <t>En promedio esta empresa genera o destruye valor? Esta calculado con el valor presente teniendo en cuenta un wacc de 15%</t>
  </si>
  <si>
    <t>Lo que gana menos cuanto inivierte, si sobra, es un flujo de caja libre</t>
  </si>
  <si>
    <t>PV of EVA</t>
  </si>
  <si>
    <t>PV of FCFF</t>
  </si>
  <si>
    <t>Por cada dolar de venta cuanto me enriquese esta empresa</t>
  </si>
  <si>
    <t>CONCLUSIONES</t>
  </si>
  <si>
    <t>18. ROIC</t>
  </si>
  <si>
    <t>19. EVA</t>
  </si>
  <si>
    <t>20. FCFF</t>
  </si>
  <si>
    <t>Pasa los test?</t>
  </si>
  <si>
    <t>Pasa los test mas relevantes?</t>
  </si>
  <si>
    <t>LA DEUDA REPRESENTA MENOS DE UN 1/3 DEL ACTIVO?</t>
  </si>
  <si>
    <t>LA DEUDA REPRESENTA MENOS DE LA MITAD DE LO QUE PONEN LOS ACCIONISTAS?</t>
  </si>
  <si>
    <t>ES UNA EMPRESA NET-NET?</t>
  </si>
  <si>
    <t>ES RENTABLE?</t>
  </si>
  <si>
    <t>GENERA FLUJO DE CAJA LIBRE?</t>
  </si>
  <si>
    <t>POR CADA DOLAR DE VENTA LA EMPRESA ENRIQUESE AL MENOS 5%?</t>
  </si>
  <si>
    <t>GENERA VALOR PARA LOS ACCIONISTAS?</t>
  </si>
  <si>
    <t>PAGARIA SU DEUDA DE LARGO PLAZO CUANDO SE COMPARA CON EL NET INCOME EN MENOS DE 5 PERIODOS?</t>
  </si>
  <si>
    <t>133650000000</t>
  </si>
  <si>
    <t>163811000000</t>
  </si>
  <si>
    <t>30161000000</t>
  </si>
  <si>
    <t>69380000000</t>
  </si>
  <si>
    <t>21087000000</t>
  </si>
  <si>
    <t>43873000000</t>
  </si>
  <si>
    <t>119640000000</t>
  </si>
  <si>
    <t>2517000000</t>
  </si>
  <si>
    <t>1973000000</t>
  </si>
  <si>
    <t>683000000</t>
  </si>
  <si>
    <t>171000000</t>
  </si>
  <si>
    <t>15290000000</t>
  </si>
  <si>
    <t>598000000</t>
  </si>
  <si>
    <t>70663000000</t>
  </si>
  <si>
    <t>8303000000</t>
  </si>
  <si>
    <t>715000000</t>
  </si>
  <si>
    <t>62360000000</t>
  </si>
  <si>
    <t>61418000000</t>
  </si>
  <si>
    <t>71944000000</t>
  </si>
  <si>
    <t>QUE EN PROMEDIO NO SEA MAS QUE UN 15% DEL EBIT, LO CUMPLE?</t>
  </si>
  <si>
    <t>LOS ACTIVOS DE CORTO PLAZO ME ALCANZAN PARA PAGAR LOS PASIVOS DE CORTO PLAZO?</t>
  </si>
  <si>
    <t>TIENE PENDIENTE MAYOR A CERO EN LOS ULTIMO AÑOS?</t>
  </si>
  <si>
    <t xml:space="preserve">DE CADA 100 DOLARES EN VENTA, SE GASTO MENOS DE 80? </t>
  </si>
  <si>
    <t>TIENE UN PRODUTO O SERVICIO ESTABLE PARA MANTENER A LOS CLIENTES?</t>
  </si>
  <si>
    <t>MSFT</t>
  </si>
  <si>
    <t>Preguntas para comprender los TEST de ventaja competitiva</t>
  </si>
  <si>
    <t>CRECEN LAS VENTAS?</t>
  </si>
  <si>
    <t>TIENE PENDIENTE MAYOR A CERO EN LOS ULTIMOS AÑOS?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</si>
</sst>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Bahnschrift"/>
      <family val="2"/>
    </font>
    <font>
      <b/>
      <sz val="16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2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0" xfId="0" applyFont="1" applyFill="1"/>
    <xf numFmtId="0" fontId="8" fillId="4" borderId="0" xfId="0" applyFont="1" applyFill="1"/>
    <xf numFmtId="0" fontId="4" fillId="0" borderId="1" xfId="0" applyFont="1" applyBorder="1"/>
    <xf numFmtId="9" fontId="0" fillId="0" borderId="0" xfId="0" applyNumberForma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9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43" fontId="4" fillId="5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9" fontId="4" fillId="6" borderId="0" xfId="0" applyNumberFormat="1" applyFont="1" applyFill="1" applyAlignment="1">
      <alignment horizontal="center" vertical="center"/>
    </xf>
    <xf numFmtId="9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2" fontId="4" fillId="5" borderId="0" xfId="1" applyNumberFormat="1" applyFont="1" applyFill="1" applyBorder="1" applyAlignment="1">
      <alignment horizontal="center" vertical="center"/>
    </xf>
    <xf numFmtId="9" fontId="4" fillId="4" borderId="0" xfId="2" applyFont="1" applyFill="1" applyAlignment="1">
      <alignment horizontal="center" vertical="center"/>
    </xf>
    <xf numFmtId="9" fontId="4" fillId="5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504A-1D8B-4B0B-8C11-911796270656}">
  <dimension ref="A1:Z505"/>
  <sheetViews>
    <sheetView tabSelected="1" topLeftCell="A2" workbookViewId="0">
      <selection activeCell="A2" sqref="A2"/>
    </sheetView>
  </sheetViews>
  <sheetFormatPr baseColWidth="10" defaultRowHeight="15" x14ac:dyDescent="0.25"/>
  <cols>
    <col min="2" max="2" width="11.85546875" bestFit="1" customWidth="1"/>
    <col min="3" max="3" width="35.140625" customWidth="1"/>
    <col min="4" max="4" width="47.7109375" bestFit="1" customWidth="1"/>
    <col min="5" max="5" width="11.42578125" customWidth="1"/>
    <col min="8" max="8" width="11.85546875" bestFit="1" customWidth="1"/>
    <col min="9" max="9" width="12" bestFit="1" customWidth="1"/>
    <col min="14" max="14" width="12" bestFit="1" customWidth="1"/>
  </cols>
  <sheetData>
    <row r="1" spans="1:26" x14ac:dyDescent="0.25">
      <c r="B1" t="s">
        <v>104</v>
      </c>
      <c r="C1" t="s">
        <v>105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26" x14ac:dyDescent="0.25">
      <c r="A2">
        <v>1</v>
      </c>
      <c r="B2" t="s">
        <v>45</v>
      </c>
      <c r="C2" t="s">
        <v>45</v>
      </c>
      <c r="D2" t="str">
        <f>CONCATENATE(B2," | ",C2)</f>
        <v>AAPL | AAPL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Z2" s="34" t="s">
        <v>45</v>
      </c>
    </row>
    <row r="3" spans="1:26" x14ac:dyDescent="0.25">
      <c r="A3">
        <v>1</v>
      </c>
      <c r="B3" t="str">
        <f t="shared" ref="B3:B67" si="0">IF(C3="grossProfit",C2,B2)</f>
        <v>AAPL</v>
      </c>
      <c r="C3" t="s">
        <v>46</v>
      </c>
      <c r="D3" t="str">
        <f>CONCATENATE(B3," | ",C3)</f>
        <v>AAPL | grossProfit</v>
      </c>
      <c r="E3">
        <v>93626000000</v>
      </c>
      <c r="F3">
        <v>84263000000</v>
      </c>
      <c r="G3">
        <v>88186000000</v>
      </c>
      <c r="H3">
        <v>101839000000</v>
      </c>
      <c r="I3">
        <v>98392000000</v>
      </c>
      <c r="J3">
        <v>104956000000</v>
      </c>
      <c r="K3">
        <v>152836000000</v>
      </c>
      <c r="L3">
        <v>170782000000</v>
      </c>
      <c r="M3">
        <v>169148000000</v>
      </c>
      <c r="Z3" s="34" t="s">
        <v>80</v>
      </c>
    </row>
    <row r="4" spans="1:26" x14ac:dyDescent="0.25">
      <c r="A4">
        <f>IF(B4=B3,A3,A3+1)</f>
        <v>1</v>
      </c>
      <c r="B4" t="str">
        <f t="shared" si="0"/>
        <v>AAPL</v>
      </c>
      <c r="C4" t="s">
        <v>47</v>
      </c>
      <c r="D4" t="str">
        <f t="shared" ref="D4:D68" si="1">CONCATENATE(B4," | ",C4)</f>
        <v>AAPL | totalRevenue</v>
      </c>
      <c r="E4">
        <v>232982000000</v>
      </c>
      <c r="F4">
        <v>215639000000</v>
      </c>
      <c r="G4">
        <v>229234000000</v>
      </c>
      <c r="H4">
        <v>265595000000</v>
      </c>
      <c r="I4">
        <v>256598000000</v>
      </c>
      <c r="J4">
        <v>271642000000</v>
      </c>
      <c r="K4">
        <v>363172000000</v>
      </c>
      <c r="L4">
        <v>391397000000</v>
      </c>
      <c r="M4">
        <v>379352000000</v>
      </c>
      <c r="Z4" s="34" t="s">
        <v>196</v>
      </c>
    </row>
    <row r="5" spans="1:26" x14ac:dyDescent="0.25">
      <c r="A5">
        <f t="shared" ref="A5:A69" si="2">IF(B5=B4,A4,A4+1)</f>
        <v>1</v>
      </c>
      <c r="B5" t="str">
        <f t="shared" si="0"/>
        <v>AAPL</v>
      </c>
      <c r="C5" t="s">
        <v>48</v>
      </c>
      <c r="D5" t="str">
        <f t="shared" si="1"/>
        <v>AAPL | costOfRevenue</v>
      </c>
      <c r="E5">
        <v>163618000000</v>
      </c>
      <c r="F5">
        <v>131376000000</v>
      </c>
      <c r="G5">
        <v>141048000000</v>
      </c>
      <c r="H5">
        <v>163756000000</v>
      </c>
      <c r="I5">
        <v>180027000000</v>
      </c>
      <c r="J5">
        <v>189475000000</v>
      </c>
      <c r="K5">
        <v>234954000000</v>
      </c>
      <c r="L5">
        <v>248640000000</v>
      </c>
      <c r="M5">
        <v>239069000000</v>
      </c>
      <c r="Z5" s="34" t="s">
        <v>79</v>
      </c>
    </row>
    <row r="6" spans="1:26" x14ac:dyDescent="0.25">
      <c r="A6">
        <f t="shared" si="2"/>
        <v>1</v>
      </c>
      <c r="B6" t="str">
        <f t="shared" si="0"/>
        <v>AAPL</v>
      </c>
      <c r="C6" t="s">
        <v>49</v>
      </c>
      <c r="D6" t="str">
        <f t="shared" si="1"/>
        <v>AAPL | costofGoodsAndServicesSold</v>
      </c>
      <c r="E6">
        <v>140089000000</v>
      </c>
      <c r="F6">
        <v>131376000000</v>
      </c>
      <c r="G6">
        <v>141048000000</v>
      </c>
      <c r="H6">
        <v>163756000000</v>
      </c>
      <c r="I6">
        <v>161782000000</v>
      </c>
      <c r="J6">
        <v>169559000000</v>
      </c>
      <c r="K6">
        <v>212981000000</v>
      </c>
      <c r="L6">
        <v>223546000000</v>
      </c>
      <c r="M6">
        <v>214137000000</v>
      </c>
      <c r="Z6" s="34" t="s">
        <v>102</v>
      </c>
    </row>
    <row r="7" spans="1:26" x14ac:dyDescent="0.25">
      <c r="A7">
        <f t="shared" si="2"/>
        <v>1</v>
      </c>
      <c r="B7" t="str">
        <f t="shared" si="0"/>
        <v>AAPL</v>
      </c>
      <c r="C7" t="s">
        <v>50</v>
      </c>
      <c r="D7" t="str">
        <f t="shared" si="1"/>
        <v>AAPL | operatingIncome</v>
      </c>
      <c r="E7">
        <v>71230000000</v>
      </c>
      <c r="F7">
        <v>60024000000</v>
      </c>
      <c r="G7">
        <v>61344000000</v>
      </c>
      <c r="H7">
        <v>70898000000</v>
      </c>
      <c r="I7">
        <v>63930000000</v>
      </c>
      <c r="J7">
        <v>66288000000</v>
      </c>
      <c r="K7">
        <v>108949000000</v>
      </c>
      <c r="L7">
        <v>119437000000</v>
      </c>
      <c r="M7">
        <v>114301000000</v>
      </c>
      <c r="Z7" s="34" t="s">
        <v>103</v>
      </c>
    </row>
    <row r="8" spans="1:26" x14ac:dyDescent="0.25">
      <c r="A8">
        <f t="shared" si="2"/>
        <v>1</v>
      </c>
      <c r="B8" t="str">
        <f t="shared" si="0"/>
        <v>AAPL</v>
      </c>
      <c r="C8" t="s">
        <v>51</v>
      </c>
      <c r="D8" t="str">
        <f t="shared" si="1"/>
        <v>AAPL | sellingGeneralAndAdministrative</v>
      </c>
      <c r="E8">
        <v>14329000000</v>
      </c>
      <c r="F8">
        <v>14194000000</v>
      </c>
      <c r="G8">
        <v>15261000000</v>
      </c>
      <c r="H8">
        <v>16705000000</v>
      </c>
      <c r="I8">
        <v>18245000000</v>
      </c>
      <c r="J8">
        <v>19916000000</v>
      </c>
      <c r="K8">
        <v>21973000000</v>
      </c>
      <c r="L8">
        <v>25094000000</v>
      </c>
      <c r="M8">
        <v>24932000000</v>
      </c>
      <c r="Z8" s="34" t="s">
        <v>82</v>
      </c>
    </row>
    <row r="9" spans="1:26" x14ac:dyDescent="0.25">
      <c r="A9">
        <f t="shared" si="2"/>
        <v>1</v>
      </c>
      <c r="B9" t="str">
        <f t="shared" si="0"/>
        <v>AAPL</v>
      </c>
      <c r="C9" t="s">
        <v>52</v>
      </c>
      <c r="D9" t="str">
        <f t="shared" si="1"/>
        <v>AAPL | researchAndDevelopment</v>
      </c>
      <c r="E9">
        <v>8067000000</v>
      </c>
      <c r="F9">
        <v>10045000000</v>
      </c>
      <c r="G9">
        <v>11581000000</v>
      </c>
      <c r="H9">
        <v>14236000000</v>
      </c>
      <c r="I9">
        <v>16217000000</v>
      </c>
      <c r="J9">
        <v>18752000000</v>
      </c>
      <c r="K9">
        <v>21914000000</v>
      </c>
      <c r="L9">
        <v>26251000000</v>
      </c>
      <c r="M9">
        <v>29915000000</v>
      </c>
      <c r="Z9" s="34" t="s">
        <v>81</v>
      </c>
    </row>
    <row r="10" spans="1:26" x14ac:dyDescent="0.25">
      <c r="A10">
        <f t="shared" si="2"/>
        <v>1</v>
      </c>
      <c r="B10" t="str">
        <f t="shared" si="0"/>
        <v>AAPL</v>
      </c>
      <c r="C10" t="s">
        <v>53</v>
      </c>
      <c r="D10" t="str">
        <f t="shared" si="1"/>
        <v>AAPL | operatingExpenses</v>
      </c>
      <c r="E10">
        <v>22396000000</v>
      </c>
      <c r="F10">
        <v>24239000000</v>
      </c>
      <c r="G10">
        <v>26842000000</v>
      </c>
      <c r="H10">
        <v>30941000000</v>
      </c>
      <c r="I10">
        <v>34462000000</v>
      </c>
      <c r="J10">
        <v>38668000000</v>
      </c>
      <c r="K10">
        <v>43887000000</v>
      </c>
      <c r="L10">
        <v>51345000000</v>
      </c>
      <c r="M10">
        <v>54847000000</v>
      </c>
    </row>
    <row r="11" spans="1:26" x14ac:dyDescent="0.25">
      <c r="A11">
        <f t="shared" si="2"/>
        <v>1</v>
      </c>
      <c r="B11" t="str">
        <f t="shared" si="0"/>
        <v>AAPL</v>
      </c>
      <c r="C11" t="s">
        <v>54</v>
      </c>
      <c r="D11" t="str">
        <f t="shared" si="1"/>
        <v>AAPL | investmentIncomeNet</v>
      </c>
      <c r="E11">
        <v>2921000000</v>
      </c>
      <c r="F11">
        <v>3999000000</v>
      </c>
      <c r="G11">
        <v>5201000000</v>
      </c>
      <c r="H11">
        <v>5686000000</v>
      </c>
      <c r="I11">
        <v>4961000000</v>
      </c>
      <c r="J11">
        <v>3763000000</v>
      </c>
      <c r="K11">
        <v>2843000000</v>
      </c>
      <c r="L11">
        <v>2825000000</v>
      </c>
      <c r="M11">
        <v>3750000000</v>
      </c>
    </row>
    <row r="12" spans="1:26" x14ac:dyDescent="0.25">
      <c r="A12">
        <f t="shared" si="2"/>
        <v>1</v>
      </c>
      <c r="B12" t="str">
        <f t="shared" si="0"/>
        <v>AAPL</v>
      </c>
      <c r="C12" t="s">
        <v>55</v>
      </c>
      <c r="D12" t="str">
        <f t="shared" si="1"/>
        <v>AAPL | netInterestIncome</v>
      </c>
      <c r="E12">
        <v>-733000000</v>
      </c>
      <c r="F12">
        <v>-1456000000</v>
      </c>
      <c r="G12">
        <v>-2323000000</v>
      </c>
      <c r="H12">
        <v>-3240000000</v>
      </c>
      <c r="I12">
        <v>-3576000000</v>
      </c>
      <c r="J12">
        <v>-2873000000</v>
      </c>
      <c r="K12">
        <v>-2645000000</v>
      </c>
      <c r="L12">
        <v>-2931000000</v>
      </c>
      <c r="M12">
        <v>-3933000000</v>
      </c>
    </row>
    <row r="13" spans="1:26" x14ac:dyDescent="0.25">
      <c r="A13">
        <f t="shared" si="2"/>
        <v>1</v>
      </c>
      <c r="B13" t="str">
        <f t="shared" si="0"/>
        <v>AAPL</v>
      </c>
      <c r="C13" t="s">
        <v>56</v>
      </c>
      <c r="D13" t="str">
        <f t="shared" si="1"/>
        <v>AAPL | interestIncome</v>
      </c>
      <c r="F13">
        <v>3999000000</v>
      </c>
      <c r="G13">
        <v>5201000000</v>
      </c>
      <c r="H13">
        <v>5686000000</v>
      </c>
      <c r="I13">
        <v>4961000000</v>
      </c>
      <c r="J13">
        <v>3763000000</v>
      </c>
      <c r="K13">
        <v>2843000000</v>
      </c>
      <c r="L13">
        <v>106000000</v>
      </c>
      <c r="M13">
        <v>3750000000</v>
      </c>
    </row>
    <row r="14" spans="1:26" x14ac:dyDescent="0.25">
      <c r="A14">
        <f t="shared" si="2"/>
        <v>1</v>
      </c>
      <c r="B14" t="str">
        <f t="shared" si="0"/>
        <v>AAPL</v>
      </c>
      <c r="C14" t="s">
        <v>57</v>
      </c>
      <c r="D14" t="str">
        <f t="shared" si="1"/>
        <v>AAPL | interestExpense</v>
      </c>
      <c r="E14">
        <v>733000000</v>
      </c>
      <c r="F14">
        <v>1456000000</v>
      </c>
      <c r="G14">
        <v>2323000000</v>
      </c>
      <c r="H14">
        <v>3240000000</v>
      </c>
      <c r="I14">
        <v>3576000000</v>
      </c>
      <c r="J14">
        <v>2873000000</v>
      </c>
      <c r="K14">
        <v>2645000000</v>
      </c>
      <c r="L14">
        <v>2931000000</v>
      </c>
      <c r="M14">
        <v>3933000000</v>
      </c>
    </row>
    <row r="15" spans="1:26" x14ac:dyDescent="0.25">
      <c r="A15">
        <f t="shared" si="2"/>
        <v>1</v>
      </c>
      <c r="B15" t="str">
        <f t="shared" si="0"/>
        <v>AAPL</v>
      </c>
      <c r="C15" t="s">
        <v>58</v>
      </c>
      <c r="D15" t="str">
        <f t="shared" si="1"/>
        <v>AAPL | nonInterestIncome</v>
      </c>
      <c r="G15">
        <v>229234000000</v>
      </c>
      <c r="H15">
        <v>265595000000</v>
      </c>
      <c r="I15">
        <v>260174000000</v>
      </c>
      <c r="J15">
        <v>274515000000</v>
      </c>
      <c r="K15">
        <v>365817000000</v>
      </c>
      <c r="L15">
        <v>394328000000</v>
      </c>
      <c r="M15">
        <v>383285000000</v>
      </c>
    </row>
    <row r="16" spans="1:26" x14ac:dyDescent="0.25">
      <c r="A16">
        <f t="shared" si="2"/>
        <v>1</v>
      </c>
      <c r="B16" t="str">
        <f t="shared" si="0"/>
        <v>AAPL</v>
      </c>
      <c r="C16" t="s">
        <v>59</v>
      </c>
      <c r="D16" t="str">
        <f t="shared" si="1"/>
        <v>AAPL | otherNonOperatingIncome</v>
      </c>
      <c r="E16">
        <v>-903000000</v>
      </c>
      <c r="F16">
        <v>-1195000000</v>
      </c>
      <c r="G16">
        <v>-133000000</v>
      </c>
      <c r="H16">
        <v>-441000000</v>
      </c>
      <c r="I16">
        <v>422000000</v>
      </c>
      <c r="J16">
        <v>-87000000</v>
      </c>
      <c r="K16">
        <v>60000000</v>
      </c>
      <c r="L16">
        <v>-228000000</v>
      </c>
      <c r="M16">
        <v>-382000000</v>
      </c>
    </row>
    <row r="17" spans="1:13" x14ac:dyDescent="0.25">
      <c r="A17">
        <f t="shared" si="2"/>
        <v>1</v>
      </c>
      <c r="B17" t="str">
        <f t="shared" si="0"/>
        <v>AAPL</v>
      </c>
      <c r="C17" t="s">
        <v>60</v>
      </c>
      <c r="D17" t="str">
        <f t="shared" si="1"/>
        <v>AAPL | depreciation</v>
      </c>
      <c r="F17">
        <v>8300000000</v>
      </c>
      <c r="G17">
        <v>8200000000</v>
      </c>
      <c r="H17">
        <v>9300000000</v>
      </c>
      <c r="I17">
        <v>11300000000</v>
      </c>
      <c r="J17">
        <v>9700000000</v>
      </c>
      <c r="K17">
        <v>9500000000</v>
      </c>
      <c r="L17">
        <v>8700000000</v>
      </c>
      <c r="M17">
        <v>8500000000</v>
      </c>
    </row>
    <row r="18" spans="1:13" x14ac:dyDescent="0.25">
      <c r="A18">
        <f t="shared" si="2"/>
        <v>1</v>
      </c>
      <c r="B18" t="str">
        <f t="shared" si="0"/>
        <v>AAPL</v>
      </c>
      <c r="C18" t="s">
        <v>61</v>
      </c>
      <c r="D18" t="str">
        <f t="shared" si="1"/>
        <v>AAPL | depreciationAndAmortization</v>
      </c>
      <c r="E18">
        <v>9200000000</v>
      </c>
      <c r="F18">
        <v>8300000000</v>
      </c>
      <c r="G18">
        <v>1200000000</v>
      </c>
      <c r="H18">
        <v>9300000000</v>
      </c>
      <c r="I18">
        <v>11300000000</v>
      </c>
      <c r="J18">
        <v>11056000000</v>
      </c>
      <c r="K18">
        <v>11284000000</v>
      </c>
      <c r="L18">
        <v>11104000000</v>
      </c>
      <c r="M18">
        <v>11519000000</v>
      </c>
    </row>
    <row r="19" spans="1:13" x14ac:dyDescent="0.25">
      <c r="A19">
        <f t="shared" si="2"/>
        <v>1</v>
      </c>
      <c r="B19" t="str">
        <f t="shared" si="0"/>
        <v>AAPL</v>
      </c>
      <c r="C19" t="s">
        <v>62</v>
      </c>
      <c r="D19" t="str">
        <f t="shared" si="1"/>
        <v>AAPL | incomeBeforeTax</v>
      </c>
      <c r="E19">
        <v>72515000000</v>
      </c>
      <c r="F19">
        <v>61372000000</v>
      </c>
      <c r="G19">
        <v>64089000000</v>
      </c>
      <c r="H19">
        <v>72903000000</v>
      </c>
      <c r="I19">
        <v>65737000000</v>
      </c>
      <c r="J19">
        <v>67091000000</v>
      </c>
      <c r="K19">
        <v>109207000000</v>
      </c>
      <c r="L19">
        <v>119103000000</v>
      </c>
      <c r="M19">
        <v>113736000000</v>
      </c>
    </row>
    <row r="20" spans="1:13" x14ac:dyDescent="0.25">
      <c r="A20">
        <f t="shared" si="2"/>
        <v>1</v>
      </c>
      <c r="B20" t="str">
        <f t="shared" si="0"/>
        <v>AAPL</v>
      </c>
      <c r="C20" t="s">
        <v>63</v>
      </c>
      <c r="D20" t="str">
        <f t="shared" si="1"/>
        <v>AAPL | incomeTaxExpense</v>
      </c>
      <c r="E20">
        <v>19121000000</v>
      </c>
      <c r="F20">
        <v>15685000000</v>
      </c>
      <c r="G20">
        <v>15738000000</v>
      </c>
      <c r="H20">
        <v>13372000000</v>
      </c>
      <c r="I20">
        <v>10481000000</v>
      </c>
      <c r="J20">
        <v>9680000000</v>
      </c>
      <c r="K20">
        <v>14527000000</v>
      </c>
      <c r="L20">
        <v>19300000000</v>
      </c>
      <c r="M20">
        <v>16741000000</v>
      </c>
    </row>
    <row r="21" spans="1:13" x14ac:dyDescent="0.25">
      <c r="A21">
        <f t="shared" si="2"/>
        <v>1</v>
      </c>
      <c r="B21" t="str">
        <f t="shared" si="0"/>
        <v>AAPL</v>
      </c>
      <c r="C21" t="s">
        <v>64</v>
      </c>
      <c r="D21" t="str">
        <f t="shared" si="1"/>
        <v>AAPL | interestAndDebtExpense</v>
      </c>
      <c r="E21">
        <v>733000000</v>
      </c>
      <c r="F21">
        <v>1456000000</v>
      </c>
      <c r="G21">
        <v>2323000000</v>
      </c>
      <c r="H21">
        <v>3240000000</v>
      </c>
      <c r="I21">
        <v>3576000000</v>
      </c>
      <c r="J21">
        <v>2873000000</v>
      </c>
      <c r="K21">
        <v>2645000000</v>
      </c>
      <c r="L21">
        <v>2931000000</v>
      </c>
      <c r="M21">
        <v>3933000000</v>
      </c>
    </row>
    <row r="22" spans="1:13" x14ac:dyDescent="0.25">
      <c r="A22">
        <f t="shared" si="2"/>
        <v>1</v>
      </c>
      <c r="B22" t="str">
        <f t="shared" si="0"/>
        <v>AAPL</v>
      </c>
      <c r="C22" t="s">
        <v>65</v>
      </c>
      <c r="D22" t="str">
        <f t="shared" si="1"/>
        <v>AAPL | netIncomeFromContinuingOperations</v>
      </c>
      <c r="E22">
        <v>53394000000</v>
      </c>
      <c r="F22">
        <v>45687000000</v>
      </c>
      <c r="G22">
        <v>48351000000</v>
      </c>
      <c r="H22">
        <v>59531000000</v>
      </c>
      <c r="I22">
        <v>55256000000</v>
      </c>
      <c r="J22">
        <v>57411000000</v>
      </c>
      <c r="K22">
        <v>94680000000</v>
      </c>
      <c r="L22">
        <v>99803000000</v>
      </c>
      <c r="M22">
        <v>96995000000</v>
      </c>
    </row>
    <row r="23" spans="1:13" x14ac:dyDescent="0.25">
      <c r="A23">
        <f t="shared" si="2"/>
        <v>1</v>
      </c>
      <c r="B23" t="str">
        <f t="shared" si="0"/>
        <v>AAPL</v>
      </c>
      <c r="C23" t="s">
        <v>66</v>
      </c>
      <c r="D23" t="str">
        <f t="shared" si="1"/>
        <v>AAPL | comprehensiveIncomeNetOfTax</v>
      </c>
      <c r="E23">
        <v>51967000000</v>
      </c>
      <c r="F23">
        <v>46666000000</v>
      </c>
      <c r="G23">
        <v>47567000000</v>
      </c>
      <c r="H23">
        <v>56505000000</v>
      </c>
      <c r="I23">
        <v>58037000000</v>
      </c>
      <c r="J23">
        <v>57453000000</v>
      </c>
      <c r="K23">
        <v>95249000000</v>
      </c>
      <c r="L23">
        <v>88531000000</v>
      </c>
      <c r="M23">
        <v>96652000000</v>
      </c>
    </row>
    <row r="24" spans="1:13" x14ac:dyDescent="0.25">
      <c r="A24">
        <f t="shared" si="2"/>
        <v>1</v>
      </c>
      <c r="B24" t="str">
        <f t="shared" si="0"/>
        <v>AAPL</v>
      </c>
      <c r="C24" t="s">
        <v>67</v>
      </c>
      <c r="D24" t="str">
        <f t="shared" si="1"/>
        <v>AAPL | ebit</v>
      </c>
      <c r="E24">
        <v>73248000000</v>
      </c>
      <c r="F24">
        <v>62828000000</v>
      </c>
      <c r="G24">
        <v>66412000000</v>
      </c>
      <c r="H24">
        <v>76143000000</v>
      </c>
      <c r="I24">
        <v>69313000000</v>
      </c>
      <c r="J24">
        <v>69964000000</v>
      </c>
      <c r="K24">
        <v>111852000000</v>
      </c>
      <c r="L24">
        <v>122034000000</v>
      </c>
      <c r="M24">
        <v>117669000000</v>
      </c>
    </row>
    <row r="25" spans="1:13" x14ac:dyDescent="0.25">
      <c r="A25">
        <f t="shared" si="2"/>
        <v>1</v>
      </c>
      <c r="B25" t="str">
        <f t="shared" si="0"/>
        <v>AAPL</v>
      </c>
      <c r="C25" t="s">
        <v>68</v>
      </c>
      <c r="D25" t="str">
        <f t="shared" si="1"/>
        <v>AAPL | ebitda</v>
      </c>
      <c r="E25">
        <v>82448000000</v>
      </c>
      <c r="F25">
        <v>71128000000</v>
      </c>
      <c r="G25">
        <v>67612000000</v>
      </c>
      <c r="H25">
        <v>81801000000</v>
      </c>
      <c r="I25">
        <v>76477000000</v>
      </c>
      <c r="J25">
        <v>77344000000</v>
      </c>
      <c r="K25">
        <v>120233000000</v>
      </c>
      <c r="L25">
        <v>130541000000</v>
      </c>
      <c r="M25">
        <v>125820000000</v>
      </c>
    </row>
    <row r="26" spans="1:13" x14ac:dyDescent="0.25">
      <c r="A26">
        <f>IF(B26=B25,A25,A25+1)</f>
        <v>1</v>
      </c>
      <c r="B26" t="str">
        <f>IF(C26="grossProfit",C25,B25)</f>
        <v>AAPL</v>
      </c>
      <c r="C26" t="s">
        <v>69</v>
      </c>
      <c r="D26" t="str">
        <f t="shared" si="1"/>
        <v>AAPL | netIncome</v>
      </c>
      <c r="E26">
        <v>53394000000</v>
      </c>
      <c r="F26">
        <v>45687000000</v>
      </c>
      <c r="G26">
        <v>48351000000</v>
      </c>
      <c r="H26">
        <v>59531000000</v>
      </c>
      <c r="I26">
        <v>55256000000</v>
      </c>
      <c r="J26">
        <v>57411000000</v>
      </c>
      <c r="K26">
        <v>94680000000</v>
      </c>
      <c r="L26">
        <v>99803000000</v>
      </c>
      <c r="M26">
        <v>96995000000</v>
      </c>
    </row>
    <row r="27" spans="1:13" x14ac:dyDescent="0.25">
      <c r="A27">
        <f>IF(B27=B26,A26,A26+1)</f>
        <v>1</v>
      </c>
      <c r="B27" t="str">
        <f>IF(C27="grossProfit",C26,B26)</f>
        <v>AAPL</v>
      </c>
      <c r="C27" t="s">
        <v>144</v>
      </c>
      <c r="D27" t="str">
        <f t="shared" si="1"/>
        <v>AAPL | reportedEPS</v>
      </c>
      <c r="E27">
        <v>2.2999999999999998</v>
      </c>
      <c r="F27">
        <v>2.0674999999999999</v>
      </c>
      <c r="G27">
        <v>2.2999999999999998</v>
      </c>
      <c r="H27">
        <v>2.97</v>
      </c>
      <c r="I27">
        <v>2.98</v>
      </c>
      <c r="J27">
        <v>3.27</v>
      </c>
      <c r="K27">
        <v>5.62</v>
      </c>
      <c r="L27">
        <v>6.11</v>
      </c>
      <c r="M27">
        <v>6.12</v>
      </c>
    </row>
    <row r="28" spans="1:13" x14ac:dyDescent="0.25">
      <c r="A28">
        <f>IF(B28=B26,A26,A26+1)</f>
        <v>1</v>
      </c>
      <c r="B28" t="str">
        <f>IF(C28="grossProfit",C26,B26)</f>
        <v>AAPL</v>
      </c>
      <c r="C28" t="s">
        <v>45</v>
      </c>
      <c r="D28" t="str">
        <f t="shared" si="1"/>
        <v>AAPL | AAPL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</row>
    <row r="29" spans="1:13" x14ac:dyDescent="0.25">
      <c r="A29">
        <f t="shared" si="2"/>
        <v>1</v>
      </c>
      <c r="B29" t="str">
        <f t="shared" si="0"/>
        <v>AAPL</v>
      </c>
      <c r="C29" t="s">
        <v>35</v>
      </c>
      <c r="D29" t="str">
        <f t="shared" si="1"/>
        <v>AAPL | totalAssets</v>
      </c>
      <c r="E29">
        <v>290345000000</v>
      </c>
      <c r="F29">
        <v>321686000000</v>
      </c>
      <c r="G29">
        <v>375319000000</v>
      </c>
      <c r="H29">
        <v>365725000000</v>
      </c>
      <c r="I29">
        <v>338516000000</v>
      </c>
      <c r="J29">
        <v>323888000000</v>
      </c>
      <c r="K29">
        <v>351002000000</v>
      </c>
      <c r="L29">
        <v>352755000000</v>
      </c>
      <c r="M29">
        <v>352583000000</v>
      </c>
    </row>
    <row r="30" spans="1:13" x14ac:dyDescent="0.25">
      <c r="A30">
        <f t="shared" si="2"/>
        <v>1</v>
      </c>
      <c r="B30" t="str">
        <f t="shared" si="0"/>
        <v>AAPL</v>
      </c>
      <c r="C30" t="s">
        <v>34</v>
      </c>
      <c r="D30" t="str">
        <f t="shared" si="1"/>
        <v>AAPL | totalCurrentAssets</v>
      </c>
      <c r="E30">
        <v>89378000000</v>
      </c>
      <c r="F30">
        <v>106869000000</v>
      </c>
      <c r="G30">
        <v>128645000000</v>
      </c>
      <c r="H30">
        <v>131339000000</v>
      </c>
      <c r="I30">
        <v>162819000000</v>
      </c>
      <c r="J30">
        <v>143713000000</v>
      </c>
      <c r="K30">
        <v>134836000000</v>
      </c>
      <c r="L30">
        <v>135405000000</v>
      </c>
      <c r="M30">
        <v>143566000000</v>
      </c>
    </row>
    <row r="31" spans="1:13" x14ac:dyDescent="0.25">
      <c r="A31">
        <f t="shared" si="2"/>
        <v>1</v>
      </c>
      <c r="B31" t="str">
        <f t="shared" si="0"/>
        <v>AAPL</v>
      </c>
      <c r="C31" t="s">
        <v>33</v>
      </c>
      <c r="D31" t="str">
        <f t="shared" si="1"/>
        <v>AAPL | cashAndCashEquivalentsAtCarryingValue</v>
      </c>
      <c r="E31">
        <v>21120000000</v>
      </c>
      <c r="F31">
        <v>20484000000</v>
      </c>
      <c r="G31">
        <v>20289000000</v>
      </c>
      <c r="H31">
        <v>25913000000</v>
      </c>
      <c r="I31">
        <v>48844000000</v>
      </c>
      <c r="J31">
        <v>38016000000</v>
      </c>
      <c r="K31">
        <v>34940000000</v>
      </c>
      <c r="L31">
        <v>23646000000</v>
      </c>
      <c r="M31">
        <v>29965000000</v>
      </c>
    </row>
    <row r="32" spans="1:13" x14ac:dyDescent="0.25">
      <c r="A32">
        <f t="shared" si="2"/>
        <v>1</v>
      </c>
      <c r="B32" t="str">
        <f t="shared" si="0"/>
        <v>AAPL</v>
      </c>
      <c r="C32" t="s">
        <v>32</v>
      </c>
      <c r="D32" t="str">
        <f t="shared" si="1"/>
        <v>AAPL | cashAndShortTermInvestments</v>
      </c>
      <c r="E32">
        <v>41601000000</v>
      </c>
      <c r="F32">
        <v>67155000000</v>
      </c>
      <c r="G32">
        <v>74181000000</v>
      </c>
      <c r="H32">
        <v>25913000000</v>
      </c>
      <c r="I32">
        <v>100557000000</v>
      </c>
      <c r="J32">
        <v>90943000000</v>
      </c>
      <c r="K32">
        <v>62639000000</v>
      </c>
      <c r="L32">
        <v>48304000000</v>
      </c>
      <c r="M32">
        <v>61555000000</v>
      </c>
    </row>
    <row r="33" spans="1:13" x14ac:dyDescent="0.25">
      <c r="A33">
        <f t="shared" si="2"/>
        <v>1</v>
      </c>
      <c r="B33" t="str">
        <f t="shared" si="0"/>
        <v>AAPL</v>
      </c>
      <c r="C33" t="s">
        <v>31</v>
      </c>
      <c r="D33" t="str">
        <f t="shared" si="1"/>
        <v>AAPL | inventory</v>
      </c>
      <c r="E33">
        <v>2349000000</v>
      </c>
      <c r="F33">
        <v>2132000000</v>
      </c>
      <c r="G33">
        <v>4855000000</v>
      </c>
      <c r="H33">
        <v>3956000000</v>
      </c>
      <c r="I33">
        <v>4106000000</v>
      </c>
      <c r="J33">
        <v>4061000000</v>
      </c>
      <c r="K33">
        <v>6580000000</v>
      </c>
      <c r="L33">
        <v>4946000000</v>
      </c>
      <c r="M33">
        <v>6331000000</v>
      </c>
    </row>
    <row r="34" spans="1:13" x14ac:dyDescent="0.25">
      <c r="A34">
        <f t="shared" si="2"/>
        <v>1</v>
      </c>
      <c r="B34" t="str">
        <f t="shared" si="0"/>
        <v>AAPL</v>
      </c>
      <c r="C34" t="s">
        <v>30</v>
      </c>
      <c r="D34" t="str">
        <f t="shared" si="1"/>
        <v>AAPL | currentNetReceivables</v>
      </c>
      <c r="E34">
        <v>30343000000</v>
      </c>
      <c r="F34">
        <v>29299000000</v>
      </c>
      <c r="G34">
        <v>35673000000</v>
      </c>
      <c r="H34">
        <v>48995000000</v>
      </c>
      <c r="I34">
        <v>45804000000</v>
      </c>
      <c r="J34">
        <v>37445000000</v>
      </c>
      <c r="K34">
        <v>51506000000</v>
      </c>
      <c r="L34">
        <v>60932000000</v>
      </c>
      <c r="M34">
        <v>60985000000</v>
      </c>
    </row>
    <row r="35" spans="1:13" x14ac:dyDescent="0.25">
      <c r="A35">
        <f t="shared" si="2"/>
        <v>1</v>
      </c>
      <c r="B35" t="str">
        <f t="shared" si="0"/>
        <v>AAPL</v>
      </c>
      <c r="C35" t="s">
        <v>29</v>
      </c>
      <c r="D35" t="str">
        <f t="shared" si="1"/>
        <v>AAPL | totalNonCurrentAssets</v>
      </c>
      <c r="E35">
        <v>365166000000</v>
      </c>
      <c r="F35">
        <v>385247000000</v>
      </c>
      <c r="G35">
        <v>246674000000</v>
      </c>
      <c r="H35">
        <v>234386000000</v>
      </c>
      <c r="I35">
        <v>175697000000</v>
      </c>
      <c r="J35">
        <v>180175000000</v>
      </c>
      <c r="K35">
        <v>216166000000</v>
      </c>
      <c r="L35">
        <v>217350000000</v>
      </c>
      <c r="M35">
        <v>209017000000</v>
      </c>
    </row>
    <row r="36" spans="1:13" x14ac:dyDescent="0.25">
      <c r="A36">
        <f t="shared" si="2"/>
        <v>1</v>
      </c>
      <c r="B36" t="str">
        <f t="shared" si="0"/>
        <v>AAPL</v>
      </c>
      <c r="C36" t="s">
        <v>28</v>
      </c>
      <c r="D36" t="str">
        <f t="shared" si="1"/>
        <v>AAPL | propertyPlantEquipment</v>
      </c>
      <c r="E36">
        <v>22471000000</v>
      </c>
      <c r="F36">
        <v>27010000000</v>
      </c>
      <c r="G36">
        <v>33783000000</v>
      </c>
      <c r="H36">
        <v>41304000000</v>
      </c>
      <c r="I36">
        <v>37378000000</v>
      </c>
      <c r="J36">
        <v>36766000000</v>
      </c>
      <c r="K36">
        <v>39440000000</v>
      </c>
      <c r="L36">
        <v>42117000000</v>
      </c>
      <c r="M36">
        <v>43715000000</v>
      </c>
    </row>
    <row r="37" spans="1:13" x14ac:dyDescent="0.25">
      <c r="A37">
        <f t="shared" si="2"/>
        <v>1</v>
      </c>
      <c r="B37" t="str">
        <f t="shared" si="0"/>
        <v>AAPL</v>
      </c>
      <c r="C37" t="s">
        <v>27</v>
      </c>
      <c r="D37" t="str">
        <f t="shared" si="1"/>
        <v>AAPL | accumulatedDepreciationAmortizationPPE</v>
      </c>
      <c r="E37">
        <v>26786000000</v>
      </c>
      <c r="F37">
        <v>34235000000</v>
      </c>
      <c r="G37">
        <v>41293000000</v>
      </c>
      <c r="H37">
        <v>49099000000</v>
      </c>
      <c r="I37">
        <v>58579000000</v>
      </c>
      <c r="J37">
        <v>66760000000</v>
      </c>
      <c r="K37">
        <v>70283000000</v>
      </c>
      <c r="L37">
        <v>72340000000</v>
      </c>
      <c r="M37">
        <v>70884000000</v>
      </c>
    </row>
    <row r="38" spans="1:13" x14ac:dyDescent="0.25">
      <c r="A38">
        <f t="shared" si="2"/>
        <v>1</v>
      </c>
      <c r="B38" t="str">
        <f t="shared" si="0"/>
        <v>AAPL</v>
      </c>
      <c r="C38" t="s">
        <v>26</v>
      </c>
      <c r="D38" t="str">
        <f t="shared" si="1"/>
        <v>AAPL | intangibleAssets</v>
      </c>
      <c r="E38">
        <v>9009000000</v>
      </c>
      <c r="F38">
        <v>8620000000</v>
      </c>
      <c r="G38">
        <v>8015000000</v>
      </c>
    </row>
    <row r="39" spans="1:13" x14ac:dyDescent="0.25">
      <c r="A39">
        <f t="shared" si="2"/>
        <v>1</v>
      </c>
      <c r="B39" t="str">
        <f t="shared" si="0"/>
        <v>AAPL</v>
      </c>
      <c r="C39" t="s">
        <v>25</v>
      </c>
      <c r="D39" t="str">
        <f t="shared" si="1"/>
        <v>AAPL | intangibleAssetsExcludingGoodwill</v>
      </c>
      <c r="E39">
        <v>3893000000</v>
      </c>
      <c r="F39">
        <v>3206000000</v>
      </c>
      <c r="G39">
        <v>2298000000</v>
      </c>
    </row>
    <row r="40" spans="1:13" x14ac:dyDescent="0.25">
      <c r="A40">
        <f t="shared" si="2"/>
        <v>1</v>
      </c>
      <c r="B40" t="str">
        <f t="shared" si="0"/>
        <v>AAPL</v>
      </c>
      <c r="C40" t="s">
        <v>24</v>
      </c>
      <c r="D40" t="str">
        <f t="shared" si="1"/>
        <v>AAPL | goodwill</v>
      </c>
      <c r="E40">
        <v>5116000000</v>
      </c>
      <c r="F40">
        <v>5414000000</v>
      </c>
      <c r="G40">
        <v>5717000000</v>
      </c>
    </row>
    <row r="41" spans="1:13" x14ac:dyDescent="0.25">
      <c r="A41">
        <f t="shared" si="2"/>
        <v>1</v>
      </c>
      <c r="B41" t="str">
        <f t="shared" si="0"/>
        <v>AAPL</v>
      </c>
      <c r="C41" t="s">
        <v>23</v>
      </c>
      <c r="D41" t="str">
        <f t="shared" si="1"/>
        <v>AAPL | investments</v>
      </c>
      <c r="E41">
        <v>205666000000</v>
      </c>
      <c r="F41">
        <v>237585000000</v>
      </c>
      <c r="G41">
        <v>268895000000</v>
      </c>
      <c r="H41">
        <v>448287000000</v>
      </c>
      <c r="I41">
        <v>362952000000</v>
      </c>
      <c r="J41">
        <v>345644000000</v>
      </c>
      <c r="K41">
        <v>318994000000</v>
      </c>
      <c r="L41">
        <v>292870000000</v>
      </c>
      <c r="M41">
        <v>264965000000</v>
      </c>
    </row>
    <row r="42" spans="1:13" x14ac:dyDescent="0.25">
      <c r="A42">
        <f t="shared" si="2"/>
        <v>1</v>
      </c>
      <c r="B42" t="str">
        <f t="shared" si="0"/>
        <v>AAPL</v>
      </c>
      <c r="C42" t="s">
        <v>22</v>
      </c>
      <c r="D42" t="str">
        <f t="shared" si="1"/>
        <v>AAPL | longTermInvestments</v>
      </c>
      <c r="E42">
        <v>164065000000</v>
      </c>
      <c r="F42">
        <v>170430000000</v>
      </c>
      <c r="G42">
        <v>194714000000</v>
      </c>
      <c r="H42">
        <v>170799000000</v>
      </c>
      <c r="I42">
        <v>105341000000</v>
      </c>
      <c r="J42">
        <v>100887000000</v>
      </c>
      <c r="K42">
        <v>127877000000</v>
      </c>
      <c r="L42">
        <v>120805000000</v>
      </c>
      <c r="M42">
        <v>100544000000</v>
      </c>
    </row>
    <row r="43" spans="1:13" x14ac:dyDescent="0.25">
      <c r="A43">
        <f t="shared" si="2"/>
        <v>1</v>
      </c>
      <c r="B43" t="str">
        <f t="shared" si="0"/>
        <v>AAPL</v>
      </c>
      <c r="C43" t="s">
        <v>21</v>
      </c>
      <c r="D43" t="str">
        <f t="shared" si="1"/>
        <v>AAPL | shortTermInvestments</v>
      </c>
      <c r="E43">
        <v>20481000000</v>
      </c>
      <c r="F43">
        <v>46671000000</v>
      </c>
      <c r="G43">
        <v>53892000000</v>
      </c>
      <c r="H43">
        <v>40388000000</v>
      </c>
      <c r="I43">
        <v>51713000000</v>
      </c>
      <c r="J43">
        <v>52927000000</v>
      </c>
      <c r="K43">
        <v>27699000000</v>
      </c>
      <c r="L43">
        <v>24658000000</v>
      </c>
      <c r="M43">
        <v>31590000000</v>
      </c>
    </row>
    <row r="44" spans="1:13" x14ac:dyDescent="0.25">
      <c r="A44">
        <f t="shared" si="2"/>
        <v>1</v>
      </c>
      <c r="B44" t="str">
        <f t="shared" si="0"/>
        <v>AAPL</v>
      </c>
      <c r="C44" t="s">
        <v>20</v>
      </c>
      <c r="D44" t="str">
        <f t="shared" si="1"/>
        <v>AAPL | otherCurrentAssets</v>
      </c>
      <c r="E44">
        <v>15085000000</v>
      </c>
      <c r="F44">
        <v>8283000000</v>
      </c>
      <c r="G44">
        <v>13936000000</v>
      </c>
      <c r="H44">
        <v>12087000000</v>
      </c>
      <c r="I44">
        <v>12352000000</v>
      </c>
      <c r="J44">
        <v>11264000000</v>
      </c>
      <c r="K44">
        <v>14111000000</v>
      </c>
      <c r="L44">
        <v>21223000000</v>
      </c>
      <c r="M44">
        <v>14695000000</v>
      </c>
    </row>
    <row r="45" spans="1:13" x14ac:dyDescent="0.25">
      <c r="A45">
        <f t="shared" si="2"/>
        <v>1</v>
      </c>
      <c r="B45" t="str">
        <f t="shared" si="0"/>
        <v>AAPL</v>
      </c>
      <c r="C45" t="s">
        <v>19</v>
      </c>
      <c r="D45" t="str">
        <f t="shared" si="1"/>
        <v>AAPL | otherNonCurrentAssets</v>
      </c>
      <c r="E45">
        <v>5422000000</v>
      </c>
      <c r="F45">
        <v>8757000000</v>
      </c>
      <c r="G45">
        <v>18177000000</v>
      </c>
      <c r="H45">
        <v>22283000000</v>
      </c>
      <c r="I45">
        <v>32978000000</v>
      </c>
      <c r="J45">
        <v>42522000000</v>
      </c>
      <c r="K45">
        <v>48849000000</v>
      </c>
      <c r="L45">
        <v>54428000000</v>
      </c>
      <c r="M45">
        <v>64758000000</v>
      </c>
    </row>
    <row r="46" spans="1:13" x14ac:dyDescent="0.25">
      <c r="A46">
        <f t="shared" si="2"/>
        <v>1</v>
      </c>
      <c r="B46" t="str">
        <f t="shared" si="0"/>
        <v>AAPL</v>
      </c>
      <c r="C46" t="s">
        <v>18</v>
      </c>
      <c r="D46" t="str">
        <f t="shared" si="1"/>
        <v>AAPL | totalLiabilities</v>
      </c>
      <c r="E46">
        <v>170990000000</v>
      </c>
      <c r="F46">
        <v>193437000000</v>
      </c>
      <c r="G46">
        <v>241272000000</v>
      </c>
      <c r="H46">
        <v>258578000000</v>
      </c>
      <c r="I46">
        <v>248028000000</v>
      </c>
      <c r="J46">
        <v>258549000000</v>
      </c>
      <c r="K46">
        <v>287912000000</v>
      </c>
      <c r="L46">
        <v>302083000000</v>
      </c>
      <c r="M46">
        <v>290437000000</v>
      </c>
    </row>
    <row r="47" spans="1:13" x14ac:dyDescent="0.25">
      <c r="A47">
        <f t="shared" si="2"/>
        <v>1</v>
      </c>
      <c r="B47" t="str">
        <f t="shared" si="0"/>
        <v>AAPL</v>
      </c>
      <c r="C47" t="s">
        <v>17</v>
      </c>
      <c r="D47" t="str">
        <f t="shared" si="1"/>
        <v>AAPL | totalCurrentLiabilities</v>
      </c>
      <c r="E47">
        <v>80610000000</v>
      </c>
      <c r="F47">
        <v>79006000000</v>
      </c>
      <c r="G47">
        <v>100814000000</v>
      </c>
      <c r="H47">
        <v>115929000000</v>
      </c>
      <c r="I47">
        <v>105718000000</v>
      </c>
      <c r="J47">
        <v>105392000000</v>
      </c>
      <c r="K47">
        <v>125481000000</v>
      </c>
      <c r="L47">
        <v>153982000000</v>
      </c>
      <c r="M47">
        <v>145308000000</v>
      </c>
    </row>
    <row r="48" spans="1:13" x14ac:dyDescent="0.25">
      <c r="A48">
        <f t="shared" si="2"/>
        <v>1</v>
      </c>
      <c r="B48" t="str">
        <f t="shared" si="0"/>
        <v>AAPL</v>
      </c>
      <c r="C48" t="s">
        <v>16</v>
      </c>
      <c r="D48" t="str">
        <f t="shared" si="1"/>
        <v>AAPL | currentAccountsPayable</v>
      </c>
      <c r="E48">
        <v>35490000000</v>
      </c>
      <c r="F48">
        <v>37294000000</v>
      </c>
      <c r="G48">
        <v>44242000000</v>
      </c>
      <c r="H48">
        <v>55888000000</v>
      </c>
      <c r="I48">
        <v>46236000000</v>
      </c>
      <c r="J48">
        <v>42296000000</v>
      </c>
      <c r="K48">
        <v>54763000000</v>
      </c>
      <c r="L48">
        <v>64115000000</v>
      </c>
      <c r="M48">
        <v>62611000000</v>
      </c>
    </row>
    <row r="49" spans="1:13" x14ac:dyDescent="0.25">
      <c r="A49">
        <f t="shared" si="2"/>
        <v>1</v>
      </c>
      <c r="B49" t="str">
        <f t="shared" si="0"/>
        <v>AAPL</v>
      </c>
      <c r="C49" t="s">
        <v>15</v>
      </c>
      <c r="D49" t="str">
        <f t="shared" si="1"/>
        <v>AAPL | deferredRevenue</v>
      </c>
      <c r="E49">
        <v>12564000000</v>
      </c>
      <c r="F49">
        <v>11010000000</v>
      </c>
      <c r="G49">
        <v>10384000000</v>
      </c>
      <c r="H49">
        <v>14766000000</v>
      </c>
      <c r="I49">
        <v>13622000000</v>
      </c>
      <c r="J49">
        <v>16843000000</v>
      </c>
      <c r="K49">
        <v>19512000000</v>
      </c>
      <c r="L49">
        <v>20312000000</v>
      </c>
      <c r="M49">
        <v>20161000000</v>
      </c>
    </row>
    <row r="50" spans="1:13" x14ac:dyDescent="0.25">
      <c r="A50">
        <f t="shared" si="2"/>
        <v>1</v>
      </c>
      <c r="B50" t="str">
        <f t="shared" si="0"/>
        <v>AAPL</v>
      </c>
      <c r="C50" t="s">
        <v>14</v>
      </c>
      <c r="D50" t="str">
        <f t="shared" si="1"/>
        <v>AAPL | currentDebt</v>
      </c>
      <c r="E50">
        <v>10999000000</v>
      </c>
      <c r="F50">
        <v>11600000000</v>
      </c>
      <c r="G50">
        <v>18473000000</v>
      </c>
      <c r="H50">
        <v>20748000000</v>
      </c>
      <c r="I50">
        <v>16240000000</v>
      </c>
      <c r="J50">
        <v>13793000000</v>
      </c>
      <c r="K50">
        <v>15692000000</v>
      </c>
      <c r="L50">
        <v>21239000000</v>
      </c>
      <c r="M50">
        <v>15972000000</v>
      </c>
    </row>
    <row r="51" spans="1:13" x14ac:dyDescent="0.25">
      <c r="A51">
        <f t="shared" si="2"/>
        <v>1</v>
      </c>
      <c r="B51" t="str">
        <f t="shared" si="0"/>
        <v>AAPL</v>
      </c>
      <c r="C51" t="s">
        <v>13</v>
      </c>
      <c r="D51" t="str">
        <f t="shared" si="1"/>
        <v>AAPL | shortTermDebt</v>
      </c>
      <c r="E51">
        <v>8499000000</v>
      </c>
      <c r="F51">
        <v>8100000000</v>
      </c>
      <c r="G51">
        <v>11977000000</v>
      </c>
      <c r="H51">
        <v>11964000000</v>
      </c>
      <c r="I51">
        <v>5980000000</v>
      </c>
      <c r="J51">
        <v>4996000000</v>
      </c>
      <c r="K51">
        <v>6000000000</v>
      </c>
      <c r="L51">
        <v>9982000000</v>
      </c>
      <c r="M51">
        <v>5985000000</v>
      </c>
    </row>
    <row r="52" spans="1:13" x14ac:dyDescent="0.25">
      <c r="A52">
        <f t="shared" si="2"/>
        <v>1</v>
      </c>
      <c r="B52" t="str">
        <f t="shared" si="0"/>
        <v>AAPL</v>
      </c>
      <c r="C52" t="s">
        <v>12</v>
      </c>
      <c r="D52" t="str">
        <f t="shared" si="1"/>
        <v>AAPL | totalNonCurrentLiabilities</v>
      </c>
      <c r="E52">
        <v>123941000000</v>
      </c>
      <c r="F52">
        <v>150505000000</v>
      </c>
      <c r="G52">
        <v>140458000000</v>
      </c>
      <c r="H52">
        <v>142649000000</v>
      </c>
      <c r="I52">
        <v>142310000000</v>
      </c>
      <c r="J52">
        <v>153157000000</v>
      </c>
      <c r="K52">
        <v>162431000000</v>
      </c>
      <c r="L52">
        <v>148101000000</v>
      </c>
      <c r="M52">
        <v>145129000000</v>
      </c>
    </row>
    <row r="53" spans="1:13" x14ac:dyDescent="0.25">
      <c r="A53">
        <f t="shared" si="2"/>
        <v>1</v>
      </c>
      <c r="B53" t="str">
        <f t="shared" si="0"/>
        <v>AAPL</v>
      </c>
      <c r="C53" t="s">
        <v>11</v>
      </c>
      <c r="D53" t="str">
        <f t="shared" si="1"/>
        <v>AAPL | capitalLeaseObligations</v>
      </c>
      <c r="J53">
        <v>637000000</v>
      </c>
      <c r="K53">
        <v>769000000</v>
      </c>
      <c r="L53">
        <v>812000000</v>
      </c>
      <c r="M53">
        <v>859000000</v>
      </c>
    </row>
    <row r="54" spans="1:13" x14ac:dyDescent="0.25">
      <c r="A54">
        <f t="shared" si="2"/>
        <v>1</v>
      </c>
      <c r="B54" t="str">
        <f t="shared" si="0"/>
        <v>AAPL</v>
      </c>
      <c r="C54" t="s">
        <v>10</v>
      </c>
      <c r="D54" t="str">
        <f t="shared" si="1"/>
        <v>AAPL | longTermDebt</v>
      </c>
      <c r="E54">
        <v>57400000000</v>
      </c>
      <c r="F54">
        <v>85200000000</v>
      </c>
      <c r="G54">
        <v>112596000000</v>
      </c>
      <c r="H54">
        <v>111984000000</v>
      </c>
      <c r="I54">
        <v>117760000000</v>
      </c>
      <c r="J54">
        <v>125873000000</v>
      </c>
      <c r="K54">
        <v>118700000000</v>
      </c>
      <c r="L54">
        <v>110087000000</v>
      </c>
      <c r="M54">
        <v>105103000000</v>
      </c>
    </row>
    <row r="55" spans="1:13" x14ac:dyDescent="0.25">
      <c r="A55">
        <f t="shared" si="2"/>
        <v>1</v>
      </c>
      <c r="B55" t="str">
        <f t="shared" si="0"/>
        <v>AAPL</v>
      </c>
      <c r="C55" t="s">
        <v>9</v>
      </c>
      <c r="D55" t="str">
        <f t="shared" si="1"/>
        <v>AAPL | currentLongTermDebt</v>
      </c>
      <c r="E55">
        <v>2500000000</v>
      </c>
      <c r="F55">
        <v>3500000000</v>
      </c>
      <c r="G55">
        <v>6496000000</v>
      </c>
      <c r="H55">
        <v>8784000000</v>
      </c>
      <c r="I55">
        <v>10260000000</v>
      </c>
      <c r="J55">
        <v>8773000000</v>
      </c>
      <c r="K55">
        <v>9613000000</v>
      </c>
      <c r="L55">
        <v>11128000000</v>
      </c>
      <c r="M55">
        <v>9822000000</v>
      </c>
    </row>
    <row r="56" spans="1:13" x14ac:dyDescent="0.25">
      <c r="A56">
        <f t="shared" si="2"/>
        <v>1</v>
      </c>
      <c r="B56" t="str">
        <f t="shared" si="0"/>
        <v>AAPL</v>
      </c>
      <c r="C56" t="s">
        <v>8</v>
      </c>
      <c r="D56" t="str">
        <f t="shared" si="1"/>
        <v>AAPL | longTermDebtNoncurrent</v>
      </c>
      <c r="E56">
        <v>53329000000</v>
      </c>
      <c r="F56">
        <v>75427000000</v>
      </c>
      <c r="G56">
        <v>97207000000</v>
      </c>
      <c r="H56">
        <v>93735000000</v>
      </c>
      <c r="I56">
        <v>91807000000</v>
      </c>
      <c r="J56">
        <v>98667000000</v>
      </c>
      <c r="K56">
        <v>109106000000</v>
      </c>
      <c r="L56">
        <v>98959000000</v>
      </c>
      <c r="M56">
        <v>95281000000</v>
      </c>
    </row>
    <row r="57" spans="1:13" x14ac:dyDescent="0.25">
      <c r="A57">
        <f t="shared" si="2"/>
        <v>1</v>
      </c>
      <c r="B57" t="str">
        <f t="shared" si="0"/>
        <v>AAPL</v>
      </c>
      <c r="C57" t="s">
        <v>7</v>
      </c>
      <c r="D57" t="str">
        <f t="shared" si="1"/>
        <v>AAPL | shortLongTermDebtTotal</v>
      </c>
      <c r="E57">
        <v>119787000000</v>
      </c>
      <c r="F57">
        <v>164694000000</v>
      </c>
      <c r="G57">
        <v>219794000000</v>
      </c>
      <c r="H57">
        <v>220132000000</v>
      </c>
      <c r="I57">
        <v>209135000000</v>
      </c>
      <c r="J57">
        <v>216860000000</v>
      </c>
      <c r="K57">
        <v>241783000000</v>
      </c>
      <c r="L57">
        <v>233256000000</v>
      </c>
      <c r="M57">
        <v>111088000000</v>
      </c>
    </row>
    <row r="58" spans="1:13" x14ac:dyDescent="0.25">
      <c r="A58">
        <f t="shared" si="2"/>
        <v>1</v>
      </c>
      <c r="B58" t="str">
        <f t="shared" si="0"/>
        <v>AAPL</v>
      </c>
      <c r="C58" t="s">
        <v>6</v>
      </c>
      <c r="D58" t="str">
        <f t="shared" si="1"/>
        <v>AAPL | otherCurrentLiabilities</v>
      </c>
      <c r="E58">
        <v>25181000000</v>
      </c>
      <c r="F58">
        <v>22027000000</v>
      </c>
      <c r="G58">
        <v>30551000000</v>
      </c>
      <c r="H58">
        <v>33327000000</v>
      </c>
      <c r="I58">
        <v>37720000000</v>
      </c>
      <c r="J58">
        <v>42684000000</v>
      </c>
      <c r="K58">
        <v>47493000000</v>
      </c>
      <c r="L58">
        <v>60845000000</v>
      </c>
      <c r="M58">
        <v>58829000000</v>
      </c>
    </row>
    <row r="59" spans="1:13" x14ac:dyDescent="0.25">
      <c r="A59">
        <f t="shared" si="2"/>
        <v>1</v>
      </c>
      <c r="B59" t="str">
        <f t="shared" si="0"/>
        <v>AAPL</v>
      </c>
      <c r="C59" t="s">
        <v>5</v>
      </c>
      <c r="D59" t="str">
        <f t="shared" si="1"/>
        <v>AAPL | otherNonCurrentLiabilities</v>
      </c>
      <c r="E59">
        <v>33427000000</v>
      </c>
      <c r="F59">
        <v>36074000000</v>
      </c>
      <c r="G59">
        <v>40415000000</v>
      </c>
      <c r="H59">
        <v>48914000000</v>
      </c>
      <c r="I59">
        <v>50503000000</v>
      </c>
      <c r="J59">
        <v>54490000000</v>
      </c>
      <c r="K59">
        <v>53325000000</v>
      </c>
      <c r="L59">
        <v>49142000000</v>
      </c>
      <c r="M59">
        <v>49848000000</v>
      </c>
    </row>
    <row r="60" spans="1:13" x14ac:dyDescent="0.25">
      <c r="A60">
        <f t="shared" si="2"/>
        <v>1</v>
      </c>
      <c r="B60" t="str">
        <f t="shared" si="0"/>
        <v>AAPL</v>
      </c>
      <c r="C60" t="s">
        <v>4</v>
      </c>
      <c r="D60" t="str">
        <f t="shared" si="1"/>
        <v>AAPL | totalShareholderEquity</v>
      </c>
      <c r="E60">
        <v>119355000000</v>
      </c>
      <c r="F60">
        <v>128249000000</v>
      </c>
      <c r="G60">
        <v>134047000000</v>
      </c>
      <c r="H60">
        <v>107147000000</v>
      </c>
      <c r="I60">
        <v>90488000000</v>
      </c>
      <c r="J60">
        <v>65339000000</v>
      </c>
      <c r="K60">
        <v>63090000000</v>
      </c>
      <c r="L60">
        <v>50672000000</v>
      </c>
      <c r="M60">
        <v>62146000000</v>
      </c>
    </row>
    <row r="61" spans="1:13" x14ac:dyDescent="0.25">
      <c r="A61">
        <f t="shared" si="2"/>
        <v>1</v>
      </c>
      <c r="B61" t="str">
        <f t="shared" si="0"/>
        <v>AAPL</v>
      </c>
      <c r="C61" t="s">
        <v>3</v>
      </c>
      <c r="D61" t="str">
        <f t="shared" si="1"/>
        <v>AAPL | treasuryStock</v>
      </c>
    </row>
    <row r="62" spans="1:13" x14ac:dyDescent="0.25">
      <c r="A62">
        <f t="shared" si="2"/>
        <v>1</v>
      </c>
      <c r="B62" t="str">
        <f t="shared" si="0"/>
        <v>AAPL</v>
      </c>
      <c r="C62" t="s">
        <v>2</v>
      </c>
      <c r="D62" t="str">
        <f t="shared" si="1"/>
        <v>AAPL | retainedEarnings</v>
      </c>
      <c r="E62">
        <v>92284000000</v>
      </c>
      <c r="F62">
        <v>96364000000</v>
      </c>
      <c r="G62">
        <v>98330000000</v>
      </c>
      <c r="H62">
        <v>70400000000</v>
      </c>
      <c r="I62">
        <v>45898000000</v>
      </c>
      <c r="J62">
        <v>14966000000</v>
      </c>
      <c r="K62">
        <v>5562000000</v>
      </c>
      <c r="L62">
        <v>-3068000000</v>
      </c>
      <c r="M62">
        <v>-214000000</v>
      </c>
    </row>
    <row r="63" spans="1:13" x14ac:dyDescent="0.25">
      <c r="A63">
        <f t="shared" si="2"/>
        <v>1</v>
      </c>
      <c r="B63" t="str">
        <f t="shared" si="0"/>
        <v>AAPL</v>
      </c>
      <c r="C63" t="s">
        <v>1</v>
      </c>
      <c r="D63" t="str">
        <f t="shared" si="1"/>
        <v>AAPL | commonStock</v>
      </c>
      <c r="E63">
        <v>27416000000</v>
      </c>
      <c r="F63">
        <v>31251000000</v>
      </c>
      <c r="G63">
        <v>35867000000</v>
      </c>
      <c r="H63">
        <v>40201000000</v>
      </c>
      <c r="I63">
        <v>45174000000</v>
      </c>
      <c r="J63">
        <v>50779000000</v>
      </c>
      <c r="K63">
        <v>57365000000</v>
      </c>
      <c r="L63">
        <v>64849000000</v>
      </c>
      <c r="M63">
        <v>73812000000</v>
      </c>
    </row>
    <row r="64" spans="1:13" x14ac:dyDescent="0.25">
      <c r="A64">
        <f t="shared" si="2"/>
        <v>1</v>
      </c>
      <c r="B64" t="str">
        <f t="shared" si="0"/>
        <v>AAPL</v>
      </c>
      <c r="C64" t="s">
        <v>0</v>
      </c>
      <c r="D64" t="str">
        <f t="shared" si="1"/>
        <v>AAPL | commonStockSharesOutstanding</v>
      </c>
      <c r="E64">
        <v>5578753000</v>
      </c>
      <c r="F64">
        <v>5336166000</v>
      </c>
      <c r="G64">
        <v>5126201000</v>
      </c>
      <c r="H64">
        <v>4754986000</v>
      </c>
      <c r="I64">
        <v>4443236000</v>
      </c>
      <c r="J64">
        <v>16976763000</v>
      </c>
      <c r="K64">
        <v>16426786000</v>
      </c>
      <c r="L64">
        <v>15943425000</v>
      </c>
      <c r="M64">
        <v>15550061000</v>
      </c>
    </row>
    <row r="65" spans="1:14" x14ac:dyDescent="0.25">
      <c r="A65">
        <f t="shared" si="2"/>
        <v>1</v>
      </c>
      <c r="B65" t="str">
        <f t="shared" si="0"/>
        <v>AAPL</v>
      </c>
      <c r="C65" t="s">
        <v>79</v>
      </c>
      <c r="D65" t="str">
        <f t="shared" si="1"/>
        <v>AAPL | AMZN</v>
      </c>
      <c r="E65" t="s">
        <v>78</v>
      </c>
      <c r="F65" t="s">
        <v>77</v>
      </c>
      <c r="G65" t="s">
        <v>76</v>
      </c>
      <c r="H65" t="s">
        <v>75</v>
      </c>
      <c r="I65" t="s">
        <v>74</v>
      </c>
      <c r="J65" t="s">
        <v>73</v>
      </c>
      <c r="K65" t="s">
        <v>72</v>
      </c>
      <c r="L65" t="s">
        <v>71</v>
      </c>
      <c r="M65" t="s">
        <v>70</v>
      </c>
    </row>
    <row r="66" spans="1:14" x14ac:dyDescent="0.25">
      <c r="A66">
        <f t="shared" si="2"/>
        <v>2</v>
      </c>
      <c r="B66" t="str">
        <f t="shared" si="0"/>
        <v>AMZN</v>
      </c>
      <c r="C66" t="s">
        <v>46</v>
      </c>
      <c r="D66" t="str">
        <f t="shared" si="1"/>
        <v>AMZN | grossProfit</v>
      </c>
      <c r="E66">
        <v>22853000000</v>
      </c>
      <c r="F66">
        <v>31752000000</v>
      </c>
      <c r="G66">
        <v>51222000000</v>
      </c>
      <c r="H66">
        <v>65283000000</v>
      </c>
      <c r="I66">
        <v>67626000000</v>
      </c>
      <c r="J66">
        <v>102560000000</v>
      </c>
      <c r="K66">
        <v>126928000000</v>
      </c>
      <c r="L66">
        <v>139192000000</v>
      </c>
      <c r="M66">
        <v>183837000000</v>
      </c>
      <c r="N66" t="s">
        <v>172</v>
      </c>
    </row>
    <row r="67" spans="1:14" x14ac:dyDescent="0.25">
      <c r="A67">
        <f t="shared" si="2"/>
        <v>2</v>
      </c>
      <c r="B67" t="str">
        <f t="shared" si="0"/>
        <v>AMZN</v>
      </c>
      <c r="C67" t="s">
        <v>47</v>
      </c>
      <c r="D67" t="str">
        <f t="shared" si="1"/>
        <v>AMZN | totalRevenue</v>
      </c>
      <c r="E67">
        <v>106332000000</v>
      </c>
      <c r="F67">
        <v>135565000000</v>
      </c>
      <c r="G67">
        <v>177265000000</v>
      </c>
      <c r="H67">
        <v>231264000000</v>
      </c>
      <c r="I67">
        <v>278902000000</v>
      </c>
      <c r="J67">
        <v>384452000000</v>
      </c>
      <c r="K67">
        <v>467958000000</v>
      </c>
      <c r="L67">
        <v>511276000000</v>
      </c>
      <c r="M67">
        <v>571668000000</v>
      </c>
      <c r="N67" t="s">
        <v>173</v>
      </c>
    </row>
    <row r="68" spans="1:14" x14ac:dyDescent="0.25">
      <c r="A68">
        <f t="shared" si="2"/>
        <v>2</v>
      </c>
      <c r="B68" t="str">
        <f t="shared" ref="B68:B132" si="3">IF(C68="grossProfit",C67,B67)</f>
        <v>AMZN</v>
      </c>
      <c r="C68" t="s">
        <v>48</v>
      </c>
      <c r="D68" t="str">
        <f t="shared" si="1"/>
        <v>AMZN | costOfRevenue</v>
      </c>
      <c r="E68">
        <v>83479000000</v>
      </c>
      <c r="F68">
        <v>103813000000</v>
      </c>
      <c r="G68">
        <v>126043000000</v>
      </c>
      <c r="H68">
        <v>165981000000</v>
      </c>
      <c r="I68">
        <v>211276000000</v>
      </c>
      <c r="J68">
        <v>281892000000</v>
      </c>
      <c r="K68">
        <v>341030000000</v>
      </c>
      <c r="L68">
        <v>372084000000</v>
      </c>
      <c r="M68">
        <v>387831000000</v>
      </c>
      <c r="N68" t="s">
        <v>174</v>
      </c>
    </row>
    <row r="69" spans="1:14" x14ac:dyDescent="0.25">
      <c r="A69">
        <f t="shared" si="2"/>
        <v>2</v>
      </c>
      <c r="B69" t="str">
        <f t="shared" si="3"/>
        <v>AMZN</v>
      </c>
      <c r="C69" t="s">
        <v>49</v>
      </c>
      <c r="D69" t="str">
        <f t="shared" ref="D69:D133" si="4">CONCATENATE(B69," | ",C69)</f>
        <v>AMZN | costofGoodsAndServicesSold</v>
      </c>
      <c r="E69">
        <v>71651000000</v>
      </c>
      <c r="F69">
        <v>88265000000</v>
      </c>
      <c r="G69">
        <v>111934000000</v>
      </c>
      <c r="H69">
        <v>139156000000</v>
      </c>
      <c r="I69">
        <v>165536000000</v>
      </c>
      <c r="J69">
        <v>233307000000</v>
      </c>
      <c r="K69">
        <v>272344000000</v>
      </c>
      <c r="L69">
        <v>288831000000</v>
      </c>
      <c r="M69">
        <v>304739000000</v>
      </c>
      <c r="N69" t="s">
        <v>174</v>
      </c>
    </row>
    <row r="70" spans="1:14" x14ac:dyDescent="0.25">
      <c r="A70">
        <f t="shared" ref="A70:A134" si="5">IF(B70=B69,A69,A69+1)</f>
        <v>2</v>
      </c>
      <c r="B70" t="str">
        <f t="shared" si="3"/>
        <v>AMZN</v>
      </c>
      <c r="C70" t="s">
        <v>50</v>
      </c>
      <c r="D70" t="str">
        <f t="shared" si="4"/>
        <v>AMZN | operatingIncome</v>
      </c>
      <c r="E70">
        <v>2233000000</v>
      </c>
      <c r="F70">
        <v>4186000000</v>
      </c>
      <c r="G70">
        <v>4106000000</v>
      </c>
      <c r="H70">
        <v>12421000000</v>
      </c>
      <c r="I70">
        <v>14541000000</v>
      </c>
      <c r="J70">
        <v>22899000000</v>
      </c>
      <c r="K70">
        <v>24879000000</v>
      </c>
      <c r="L70">
        <v>12248000000</v>
      </c>
      <c r="M70">
        <v>36852000000</v>
      </c>
      <c r="N70" t="s">
        <v>175</v>
      </c>
    </row>
    <row r="71" spans="1:14" x14ac:dyDescent="0.25">
      <c r="A71">
        <f t="shared" si="5"/>
        <v>2</v>
      </c>
      <c r="B71" t="str">
        <f t="shared" si="3"/>
        <v>AMZN</v>
      </c>
      <c r="C71" t="s">
        <v>51</v>
      </c>
      <c r="D71" t="str">
        <f t="shared" si="4"/>
        <v>AMZN | sellingGeneralAndAdministrative</v>
      </c>
      <c r="E71">
        <v>5547000000</v>
      </c>
      <c r="F71">
        <v>7432000000</v>
      </c>
      <c r="G71">
        <v>13743000000</v>
      </c>
      <c r="H71">
        <v>26350000000</v>
      </c>
      <c r="I71">
        <v>35081000000</v>
      </c>
      <c r="J71">
        <v>39576000000</v>
      </c>
      <c r="K71">
        <v>58274000000</v>
      </c>
      <c r="L71">
        <v>74729000000</v>
      </c>
      <c r="M71">
        <v>76486000000</v>
      </c>
      <c r="N71" t="s">
        <v>176</v>
      </c>
    </row>
    <row r="72" spans="1:14" x14ac:dyDescent="0.25">
      <c r="A72">
        <f t="shared" si="5"/>
        <v>2</v>
      </c>
      <c r="B72" t="str">
        <f t="shared" si="3"/>
        <v>AMZN</v>
      </c>
      <c r="C72" t="s">
        <v>52</v>
      </c>
      <c r="D72" t="str">
        <f t="shared" si="4"/>
        <v>AMZN | researchAndDevelopment</v>
      </c>
      <c r="E72">
        <v>12540000000</v>
      </c>
      <c r="F72">
        <v>16085000000</v>
      </c>
      <c r="G72">
        <v>22620000000</v>
      </c>
      <c r="H72">
        <v>28837000000</v>
      </c>
      <c r="I72">
        <v>35931000000</v>
      </c>
      <c r="J72">
        <v>42740000000</v>
      </c>
      <c r="K72">
        <v>56052000000</v>
      </c>
      <c r="L72">
        <v>73213000000</v>
      </c>
      <c r="M72">
        <v>85622000000</v>
      </c>
      <c r="N72" t="s">
        <v>177</v>
      </c>
    </row>
    <row r="73" spans="1:14" x14ac:dyDescent="0.25">
      <c r="A73">
        <f t="shared" si="5"/>
        <v>2</v>
      </c>
      <c r="B73" t="str">
        <f t="shared" si="3"/>
        <v>AMZN</v>
      </c>
      <c r="C73" t="s">
        <v>53</v>
      </c>
      <c r="D73" t="str">
        <f t="shared" si="4"/>
        <v>AMZN | operatingExpenses</v>
      </c>
      <c r="E73">
        <v>12288000000</v>
      </c>
      <c r="F73">
        <v>16166000000</v>
      </c>
      <c r="G73">
        <v>14949000000</v>
      </c>
      <c r="H73">
        <v>27999000000</v>
      </c>
      <c r="I73">
        <v>46941000000</v>
      </c>
      <c r="J73">
        <v>49985000000</v>
      </c>
      <c r="K73">
        <v>69686000000</v>
      </c>
      <c r="L73">
        <v>84853000000</v>
      </c>
      <c r="M73">
        <v>84992000000</v>
      </c>
      <c r="N73" t="s">
        <v>178</v>
      </c>
    </row>
    <row r="74" spans="1:14" x14ac:dyDescent="0.25">
      <c r="A74">
        <f t="shared" si="5"/>
        <v>2</v>
      </c>
      <c r="B74" t="str">
        <f t="shared" si="3"/>
        <v>AMZN</v>
      </c>
      <c r="C74" t="s">
        <v>54</v>
      </c>
      <c r="D74" t="str">
        <f t="shared" si="4"/>
        <v>AMZN | investmentIncomeNet</v>
      </c>
      <c r="E74">
        <v>50000000</v>
      </c>
      <c r="F74">
        <v>100000000</v>
      </c>
      <c r="G74">
        <v>202000000</v>
      </c>
      <c r="H74">
        <v>440000000</v>
      </c>
      <c r="I74">
        <v>832000000</v>
      </c>
      <c r="J74">
        <v>555000000</v>
      </c>
      <c r="K74">
        <v>448000000</v>
      </c>
      <c r="L74">
        <v>989000000</v>
      </c>
      <c r="M74">
        <v>2949000000</v>
      </c>
      <c r="N74" t="s">
        <v>179</v>
      </c>
    </row>
    <row r="75" spans="1:14" x14ac:dyDescent="0.25">
      <c r="A75">
        <f t="shared" si="5"/>
        <v>2</v>
      </c>
      <c r="B75" t="str">
        <f t="shared" si="3"/>
        <v>AMZN</v>
      </c>
      <c r="C75" t="s">
        <v>55</v>
      </c>
      <c r="D75" t="str">
        <f t="shared" si="4"/>
        <v>AMZN | netInterestIncome</v>
      </c>
      <c r="E75">
        <v>-459000000</v>
      </c>
      <c r="F75">
        <v>-484000000</v>
      </c>
      <c r="G75">
        <v>-848000000</v>
      </c>
      <c r="H75">
        <v>-1417000000</v>
      </c>
      <c r="I75">
        <v>-1600000000</v>
      </c>
      <c r="J75">
        <v>-1647000000</v>
      </c>
      <c r="K75">
        <v>-1809000000</v>
      </c>
      <c r="L75">
        <v>-2367000000</v>
      </c>
      <c r="M75">
        <v>-3182000000</v>
      </c>
      <c r="N75" t="s">
        <v>180</v>
      </c>
    </row>
    <row r="76" spans="1:14" x14ac:dyDescent="0.25">
      <c r="A76">
        <f t="shared" si="5"/>
        <v>2</v>
      </c>
      <c r="B76" t="str">
        <f t="shared" si="3"/>
        <v>AMZN</v>
      </c>
      <c r="C76" t="s">
        <v>56</v>
      </c>
      <c r="D76" t="str">
        <f t="shared" si="4"/>
        <v>AMZN | interestIncome</v>
      </c>
      <c r="E76">
        <v>680000000</v>
      </c>
      <c r="F76">
        <v>100000000</v>
      </c>
      <c r="G76">
        <v>202000000</v>
      </c>
      <c r="H76">
        <v>440000000</v>
      </c>
      <c r="I76">
        <v>832000000</v>
      </c>
      <c r="J76">
        <v>555000000</v>
      </c>
      <c r="K76">
        <v>448000000</v>
      </c>
      <c r="L76">
        <v>989000000</v>
      </c>
      <c r="M76">
        <v>2493000000</v>
      </c>
      <c r="N76" t="s">
        <v>179</v>
      </c>
    </row>
    <row r="77" spans="1:14" x14ac:dyDescent="0.25">
      <c r="A77">
        <f t="shared" si="5"/>
        <v>2</v>
      </c>
      <c r="B77" t="str">
        <f t="shared" si="3"/>
        <v>AMZN</v>
      </c>
      <c r="C77" t="s">
        <v>57</v>
      </c>
      <c r="D77" t="str">
        <f t="shared" si="4"/>
        <v>AMZN | interestExpense</v>
      </c>
      <c r="E77">
        <v>459000000</v>
      </c>
      <c r="F77">
        <v>484000000</v>
      </c>
      <c r="G77">
        <v>848000000</v>
      </c>
      <c r="H77">
        <v>1417000000</v>
      </c>
      <c r="I77">
        <v>1600000000</v>
      </c>
      <c r="J77">
        <v>1647000000</v>
      </c>
      <c r="K77">
        <v>1809000000</v>
      </c>
      <c r="L77">
        <v>2367000000</v>
      </c>
      <c r="M77">
        <v>3182000000</v>
      </c>
      <c r="N77" t="s">
        <v>181</v>
      </c>
    </row>
    <row r="78" spans="1:14" x14ac:dyDescent="0.25">
      <c r="A78">
        <f t="shared" si="5"/>
        <v>2</v>
      </c>
      <c r="B78" t="str">
        <f t="shared" si="3"/>
        <v>AMZN</v>
      </c>
      <c r="C78" t="s">
        <v>58</v>
      </c>
      <c r="D78" t="str">
        <f t="shared" si="4"/>
        <v>AMZN | nonInterestIncome</v>
      </c>
      <c r="E78">
        <v>-215000000</v>
      </c>
      <c r="F78">
        <v>62000000</v>
      </c>
      <c r="G78">
        <v>247000000</v>
      </c>
      <c r="H78">
        <v>232681000000</v>
      </c>
      <c r="I78">
        <v>280502000000</v>
      </c>
      <c r="J78">
        <v>386099000000</v>
      </c>
      <c r="K78">
        <v>469767000000</v>
      </c>
      <c r="L78">
        <v>513643000000</v>
      </c>
      <c r="M78">
        <v>574850000000</v>
      </c>
      <c r="N78" t="s">
        <v>173</v>
      </c>
    </row>
    <row r="79" spans="1:14" x14ac:dyDescent="0.25">
      <c r="A79">
        <f t="shared" si="5"/>
        <v>2</v>
      </c>
      <c r="B79" t="str">
        <f t="shared" si="3"/>
        <v>AMZN</v>
      </c>
      <c r="C79" t="s">
        <v>59</v>
      </c>
      <c r="D79" t="str">
        <f t="shared" si="4"/>
        <v>AMZN | otherNonOperatingIncome</v>
      </c>
      <c r="E79">
        <v>-256000000</v>
      </c>
      <c r="F79">
        <v>90000000</v>
      </c>
      <c r="G79">
        <v>346000000</v>
      </c>
      <c r="H79">
        <v>-183000000</v>
      </c>
      <c r="I79">
        <v>203000000</v>
      </c>
      <c r="J79">
        <v>2371000000</v>
      </c>
      <c r="K79">
        <v>14633000000</v>
      </c>
      <c r="L79">
        <v>-16806000000</v>
      </c>
      <c r="M79">
        <v>938000000</v>
      </c>
      <c r="N79" t="s">
        <v>182</v>
      </c>
    </row>
    <row r="80" spans="1:14" x14ac:dyDescent="0.25">
      <c r="A80">
        <f t="shared" si="5"/>
        <v>2</v>
      </c>
      <c r="B80" t="str">
        <f t="shared" si="3"/>
        <v>AMZN</v>
      </c>
      <c r="C80" t="s">
        <v>60</v>
      </c>
      <c r="D80" t="str">
        <f t="shared" si="4"/>
        <v>AMZN | depreciation</v>
      </c>
      <c r="E80">
        <v>4949000000</v>
      </c>
      <c r="F80">
        <v>6362000000</v>
      </c>
      <c r="G80">
        <v>8800000000</v>
      </c>
      <c r="H80">
        <v>12138000000</v>
      </c>
      <c r="I80">
        <v>15100000000</v>
      </c>
      <c r="J80">
        <v>16239000000</v>
      </c>
      <c r="K80">
        <v>22909000000</v>
      </c>
      <c r="L80">
        <v>24924000000</v>
      </c>
      <c r="M80">
        <v>30200000000</v>
      </c>
      <c r="N80" t="s">
        <v>183</v>
      </c>
    </row>
    <row r="81" spans="1:14" x14ac:dyDescent="0.25">
      <c r="A81">
        <f t="shared" si="5"/>
        <v>2</v>
      </c>
      <c r="B81" t="str">
        <f t="shared" si="3"/>
        <v>AMZN</v>
      </c>
      <c r="C81" t="s">
        <v>61</v>
      </c>
      <c r="D81" t="str">
        <f t="shared" si="4"/>
        <v>AMZN | depreciationAndAmortization</v>
      </c>
      <c r="E81">
        <v>6281000000</v>
      </c>
      <c r="F81">
        <v>8116000000</v>
      </c>
      <c r="G81">
        <v>366000000</v>
      </c>
      <c r="H81">
        <v>475000000</v>
      </c>
      <c r="I81">
        <v>10659000000</v>
      </c>
      <c r="J81">
        <v>9009000000</v>
      </c>
      <c r="K81">
        <v>10412000000</v>
      </c>
      <c r="L81">
        <v>6704000000</v>
      </c>
      <c r="M81">
        <v>6606000000</v>
      </c>
      <c r="N81" t="s">
        <v>184</v>
      </c>
    </row>
    <row r="82" spans="1:14" x14ac:dyDescent="0.25">
      <c r="A82">
        <f t="shared" si="5"/>
        <v>2</v>
      </c>
      <c r="B82" t="str">
        <f t="shared" si="3"/>
        <v>AMZN</v>
      </c>
      <c r="C82" t="s">
        <v>62</v>
      </c>
      <c r="D82" t="str">
        <f t="shared" si="4"/>
        <v>AMZN | incomeBeforeTax</v>
      </c>
      <c r="E82">
        <v>1546000000</v>
      </c>
      <c r="F82">
        <v>3771000000</v>
      </c>
      <c r="G82">
        <v>3802000000</v>
      </c>
      <c r="H82">
        <v>11270000000</v>
      </c>
      <c r="I82">
        <v>13988000000</v>
      </c>
      <c r="J82">
        <v>24194000000</v>
      </c>
      <c r="K82">
        <v>38155000000</v>
      </c>
      <c r="L82">
        <v>-5939000000</v>
      </c>
      <c r="M82">
        <v>37525000000</v>
      </c>
      <c r="N82" t="s">
        <v>185</v>
      </c>
    </row>
    <row r="83" spans="1:14" x14ac:dyDescent="0.25">
      <c r="A83">
        <f t="shared" si="5"/>
        <v>2</v>
      </c>
      <c r="B83" t="str">
        <f t="shared" si="3"/>
        <v>AMZN</v>
      </c>
      <c r="C83" t="s">
        <v>63</v>
      </c>
      <c r="D83" t="str">
        <f t="shared" si="4"/>
        <v>AMZN | incomeTaxExpense</v>
      </c>
      <c r="E83">
        <v>950000000</v>
      </c>
      <c r="F83">
        <v>1400000000</v>
      </c>
      <c r="G83">
        <v>769000000</v>
      </c>
      <c r="H83">
        <v>1197000000</v>
      </c>
      <c r="I83">
        <v>2400000000</v>
      </c>
      <c r="J83">
        <v>2863000000</v>
      </c>
      <c r="K83">
        <v>4791000000</v>
      </c>
      <c r="L83">
        <v>-3217000000</v>
      </c>
      <c r="M83">
        <v>7100000000</v>
      </c>
      <c r="N83" t="s">
        <v>186</v>
      </c>
    </row>
    <row r="84" spans="1:14" x14ac:dyDescent="0.25">
      <c r="A84">
        <f t="shared" si="5"/>
        <v>2</v>
      </c>
      <c r="B84" t="str">
        <f t="shared" si="3"/>
        <v>AMZN</v>
      </c>
      <c r="C84" t="s">
        <v>64</v>
      </c>
      <c r="D84" t="str">
        <f t="shared" si="4"/>
        <v>AMZN | interestAndDebtExpense</v>
      </c>
      <c r="E84">
        <v>459000000</v>
      </c>
      <c r="F84">
        <v>484000000</v>
      </c>
      <c r="G84">
        <v>848000000</v>
      </c>
      <c r="H84">
        <v>1417000000</v>
      </c>
      <c r="I84">
        <v>1600000000</v>
      </c>
      <c r="J84">
        <v>1647000000</v>
      </c>
      <c r="K84">
        <v>1809000000</v>
      </c>
      <c r="L84">
        <v>2367000000</v>
      </c>
      <c r="M84">
        <v>3182000000</v>
      </c>
      <c r="N84" t="s">
        <v>187</v>
      </c>
    </row>
    <row r="85" spans="1:14" x14ac:dyDescent="0.25">
      <c r="A85">
        <f t="shared" si="5"/>
        <v>2</v>
      </c>
      <c r="B85" t="str">
        <f t="shared" si="3"/>
        <v>AMZN</v>
      </c>
      <c r="C85" t="s">
        <v>65</v>
      </c>
      <c r="D85" t="str">
        <f t="shared" si="4"/>
        <v>AMZN | netIncomeFromContinuingOperations</v>
      </c>
      <c r="E85">
        <v>596000000</v>
      </c>
      <c r="F85">
        <v>2371000000</v>
      </c>
      <c r="G85">
        <v>3033000000</v>
      </c>
      <c r="H85">
        <v>10073000000</v>
      </c>
      <c r="I85">
        <v>11588000000</v>
      </c>
      <c r="J85">
        <v>21331000000</v>
      </c>
      <c r="K85">
        <v>33355000000</v>
      </c>
      <c r="L85">
        <v>-2722000000</v>
      </c>
      <c r="M85">
        <v>30445000000</v>
      </c>
      <c r="N85" t="s">
        <v>188</v>
      </c>
    </row>
    <row r="86" spans="1:14" x14ac:dyDescent="0.25">
      <c r="A86">
        <f t="shared" si="5"/>
        <v>2</v>
      </c>
      <c r="B86" t="str">
        <f t="shared" si="3"/>
        <v>AMZN</v>
      </c>
      <c r="C86" t="s">
        <v>66</v>
      </c>
      <c r="D86" t="str">
        <f t="shared" si="4"/>
        <v>AMZN | comprehensiveIncomeNetOfTax</v>
      </c>
      <c r="E86">
        <v>384000000</v>
      </c>
      <c r="F86">
        <v>2109000000</v>
      </c>
      <c r="G86">
        <v>3534000000</v>
      </c>
      <c r="H86">
        <v>9526000000</v>
      </c>
      <c r="I86">
        <v>11637000000</v>
      </c>
      <c r="J86">
        <v>22137000000</v>
      </c>
      <c r="K86">
        <v>32168000000</v>
      </c>
      <c r="L86">
        <v>-5833000000</v>
      </c>
      <c r="M86">
        <v>31872000000</v>
      </c>
      <c r="N86" t="s">
        <v>189</v>
      </c>
    </row>
    <row r="87" spans="1:14" x14ac:dyDescent="0.25">
      <c r="A87">
        <f t="shared" si="5"/>
        <v>2</v>
      </c>
      <c r="B87" t="str">
        <f t="shared" si="3"/>
        <v>AMZN</v>
      </c>
      <c r="C87" t="s">
        <v>67</v>
      </c>
      <c r="D87" t="str">
        <f t="shared" si="4"/>
        <v>AMZN | ebit</v>
      </c>
      <c r="E87">
        <v>2005000000</v>
      </c>
      <c r="F87">
        <v>4255000000</v>
      </c>
      <c r="G87">
        <v>4650000000</v>
      </c>
      <c r="H87">
        <v>12687000000</v>
      </c>
      <c r="I87">
        <v>15588000000</v>
      </c>
      <c r="J87">
        <v>25841000000</v>
      </c>
      <c r="K87">
        <v>39964000000</v>
      </c>
      <c r="L87">
        <v>-3572000000</v>
      </c>
      <c r="M87">
        <v>40707000000</v>
      </c>
      <c r="N87" t="s">
        <v>175</v>
      </c>
    </row>
    <row r="88" spans="1:14" x14ac:dyDescent="0.25">
      <c r="A88">
        <f t="shared" si="5"/>
        <v>2</v>
      </c>
      <c r="B88" t="str">
        <f t="shared" si="3"/>
        <v>AMZN</v>
      </c>
      <c r="C88" t="s">
        <v>68</v>
      </c>
      <c r="D88" t="str">
        <f t="shared" si="4"/>
        <v>AMZN | ebitda</v>
      </c>
      <c r="E88">
        <v>8286000000</v>
      </c>
      <c r="F88">
        <v>12371000000</v>
      </c>
      <c r="G88">
        <v>5016000000</v>
      </c>
      <c r="H88">
        <v>13162000000</v>
      </c>
      <c r="I88">
        <v>26247000000</v>
      </c>
      <c r="J88">
        <v>34850000000</v>
      </c>
      <c r="K88">
        <v>50376000000</v>
      </c>
      <c r="L88">
        <v>3132000000</v>
      </c>
      <c r="M88">
        <v>47313000000</v>
      </c>
      <c r="N88" t="s">
        <v>190</v>
      </c>
    </row>
    <row r="89" spans="1:14" x14ac:dyDescent="0.25">
      <c r="A89">
        <f t="shared" si="5"/>
        <v>2</v>
      </c>
      <c r="B89" t="str">
        <f t="shared" si="3"/>
        <v>AMZN</v>
      </c>
      <c r="C89" t="s">
        <v>69</v>
      </c>
      <c r="D89" t="str">
        <f t="shared" si="4"/>
        <v>AMZN | netIncome</v>
      </c>
      <c r="E89">
        <v>596000000</v>
      </c>
      <c r="F89">
        <v>2371000000</v>
      </c>
      <c r="G89">
        <v>3033000000</v>
      </c>
      <c r="H89">
        <v>10073000000</v>
      </c>
      <c r="I89">
        <v>11588000000</v>
      </c>
      <c r="J89">
        <v>21331000000</v>
      </c>
      <c r="K89">
        <v>33364000000</v>
      </c>
      <c r="L89">
        <v>-2722000000</v>
      </c>
      <c r="M89">
        <v>30425000000</v>
      </c>
      <c r="N89" t="s">
        <v>188</v>
      </c>
    </row>
    <row r="90" spans="1:14" x14ac:dyDescent="0.25">
      <c r="A90">
        <f>IF(B90=B89,A89,A89+1)</f>
        <v>2</v>
      </c>
      <c r="B90" t="str">
        <f>IF(C90="grossProfit",C89,B89)</f>
        <v>AMZN</v>
      </c>
      <c r="C90" t="s">
        <v>144</v>
      </c>
      <c r="D90" t="str">
        <f t="shared" si="4"/>
        <v>AMZN | reportedEPS</v>
      </c>
      <c r="E90">
        <v>0.06</v>
      </c>
      <c r="F90">
        <v>0.25</v>
      </c>
      <c r="G90">
        <v>0.23</v>
      </c>
      <c r="H90">
        <v>1</v>
      </c>
      <c r="I90">
        <v>1.1399999999999999</v>
      </c>
      <c r="J90">
        <v>2.09</v>
      </c>
      <c r="K90">
        <v>2.15</v>
      </c>
      <c r="L90">
        <v>0.97</v>
      </c>
      <c r="M90">
        <v>2.9</v>
      </c>
      <c r="N90">
        <v>3.67</v>
      </c>
    </row>
    <row r="91" spans="1:14" x14ac:dyDescent="0.25">
      <c r="A91">
        <f>IF(B91=B89,A89,A89+1)</f>
        <v>2</v>
      </c>
      <c r="B91" t="str">
        <f>IF(C91="grossProfit",C89,B89)</f>
        <v>AMZN</v>
      </c>
      <c r="C91" t="s">
        <v>79</v>
      </c>
      <c r="D91" t="str">
        <f t="shared" si="4"/>
        <v>AMZN | AMZN</v>
      </c>
      <c r="E91" t="s">
        <v>78</v>
      </c>
      <c r="F91" t="s">
        <v>77</v>
      </c>
      <c r="G91" t="s">
        <v>76</v>
      </c>
      <c r="H91" t="s">
        <v>75</v>
      </c>
      <c r="I91" t="s">
        <v>74</v>
      </c>
      <c r="J91" t="s">
        <v>73</v>
      </c>
      <c r="K91" t="s">
        <v>72</v>
      </c>
      <c r="L91" t="s">
        <v>71</v>
      </c>
      <c r="M91" t="s">
        <v>70</v>
      </c>
    </row>
    <row r="92" spans="1:14" x14ac:dyDescent="0.25">
      <c r="A92">
        <f t="shared" si="5"/>
        <v>2</v>
      </c>
      <c r="B92" t="str">
        <f t="shared" si="3"/>
        <v>AMZN</v>
      </c>
      <c r="C92" t="s">
        <v>35</v>
      </c>
      <c r="D92" t="str">
        <f t="shared" si="4"/>
        <v>AMZN | totalAssets</v>
      </c>
      <c r="E92">
        <v>64747000000</v>
      </c>
      <c r="F92">
        <v>83402000000</v>
      </c>
      <c r="G92">
        <v>131310000000</v>
      </c>
      <c r="H92">
        <v>162648000000</v>
      </c>
      <c r="I92">
        <v>225248000000</v>
      </c>
      <c r="J92">
        <v>321195000000</v>
      </c>
      <c r="K92">
        <v>420549000000</v>
      </c>
      <c r="L92">
        <v>462675000000</v>
      </c>
      <c r="M92">
        <v>527854000000</v>
      </c>
    </row>
    <row r="93" spans="1:14" x14ac:dyDescent="0.25">
      <c r="A93">
        <f t="shared" si="5"/>
        <v>2</v>
      </c>
      <c r="B93" t="str">
        <f t="shared" si="3"/>
        <v>AMZN</v>
      </c>
      <c r="C93" t="s">
        <v>34</v>
      </c>
      <c r="D93" t="str">
        <f t="shared" si="4"/>
        <v>AMZN | totalCurrentAssets</v>
      </c>
      <c r="E93">
        <v>35705000000</v>
      </c>
      <c r="F93">
        <v>45781000000</v>
      </c>
      <c r="G93">
        <v>60197000000</v>
      </c>
      <c r="H93">
        <v>75101000000</v>
      </c>
      <c r="I93">
        <v>96334000000</v>
      </c>
      <c r="J93">
        <v>132733000000</v>
      </c>
      <c r="K93">
        <v>161580000000</v>
      </c>
      <c r="L93">
        <v>146791000000</v>
      </c>
      <c r="M93">
        <v>172351000000</v>
      </c>
    </row>
    <row r="94" spans="1:14" x14ac:dyDescent="0.25">
      <c r="A94">
        <f t="shared" si="5"/>
        <v>2</v>
      </c>
      <c r="B94" t="str">
        <f t="shared" si="3"/>
        <v>AMZN</v>
      </c>
      <c r="C94" t="s">
        <v>33</v>
      </c>
      <c r="D94" t="str">
        <f t="shared" si="4"/>
        <v>AMZN | cashAndCashEquivalentsAtCarryingValue</v>
      </c>
      <c r="E94">
        <v>15890000000</v>
      </c>
      <c r="F94">
        <v>19334000000</v>
      </c>
      <c r="G94">
        <v>20522000000</v>
      </c>
      <c r="H94">
        <v>31750000000</v>
      </c>
      <c r="I94">
        <v>36092000000</v>
      </c>
      <c r="J94">
        <v>42122000000</v>
      </c>
      <c r="K94">
        <v>36220000000</v>
      </c>
      <c r="L94">
        <v>53888000000</v>
      </c>
      <c r="M94">
        <v>73387000000</v>
      </c>
    </row>
    <row r="95" spans="1:14" x14ac:dyDescent="0.25">
      <c r="A95">
        <f t="shared" si="5"/>
        <v>2</v>
      </c>
      <c r="B95" t="str">
        <f t="shared" si="3"/>
        <v>AMZN</v>
      </c>
      <c r="C95" t="s">
        <v>32</v>
      </c>
      <c r="D95" t="str">
        <f t="shared" si="4"/>
        <v>AMZN | cashAndShortTermInvestments</v>
      </c>
      <c r="E95">
        <v>19808000000</v>
      </c>
      <c r="F95">
        <v>25981000000</v>
      </c>
      <c r="G95">
        <v>30986000000</v>
      </c>
      <c r="H95">
        <v>41250000000</v>
      </c>
      <c r="I95">
        <v>55021000000</v>
      </c>
      <c r="J95">
        <v>84396000000</v>
      </c>
      <c r="K95">
        <v>96049000000</v>
      </c>
      <c r="L95">
        <v>70026000000</v>
      </c>
      <c r="M95">
        <v>86780000000</v>
      </c>
    </row>
    <row r="96" spans="1:14" x14ac:dyDescent="0.25">
      <c r="A96">
        <f t="shared" si="5"/>
        <v>2</v>
      </c>
      <c r="B96" t="str">
        <f t="shared" si="3"/>
        <v>AMZN</v>
      </c>
      <c r="C96" t="s">
        <v>31</v>
      </c>
      <c r="D96" t="str">
        <f t="shared" si="4"/>
        <v>AMZN | inventory</v>
      </c>
      <c r="E96">
        <v>10243000000</v>
      </c>
      <c r="F96">
        <v>11461000000</v>
      </c>
      <c r="G96">
        <v>16047000000</v>
      </c>
      <c r="H96">
        <v>17174000000</v>
      </c>
      <c r="I96">
        <v>20497000000</v>
      </c>
      <c r="J96">
        <v>23795000000</v>
      </c>
      <c r="K96">
        <v>32640000000</v>
      </c>
      <c r="L96">
        <v>34405000000</v>
      </c>
      <c r="M96">
        <v>33318000000</v>
      </c>
    </row>
    <row r="97" spans="1:13" x14ac:dyDescent="0.25">
      <c r="A97">
        <f t="shared" si="5"/>
        <v>2</v>
      </c>
      <c r="B97" t="str">
        <f t="shared" si="3"/>
        <v>AMZN</v>
      </c>
      <c r="C97" t="s">
        <v>30</v>
      </c>
      <c r="D97" t="str">
        <f t="shared" si="4"/>
        <v>AMZN | currentNetReceivables</v>
      </c>
      <c r="E97">
        <v>6423000000</v>
      </c>
      <c r="F97">
        <v>8339000000</v>
      </c>
      <c r="G97">
        <v>13164000000</v>
      </c>
      <c r="H97">
        <v>16677000000</v>
      </c>
      <c r="I97">
        <v>20816000000</v>
      </c>
      <c r="J97">
        <v>24542000000</v>
      </c>
      <c r="K97">
        <v>32891000000</v>
      </c>
      <c r="L97">
        <v>42360000000</v>
      </c>
      <c r="M97">
        <v>52253000000</v>
      </c>
    </row>
    <row r="98" spans="1:13" x14ac:dyDescent="0.25">
      <c r="A98">
        <f t="shared" si="5"/>
        <v>2</v>
      </c>
      <c r="B98" t="str">
        <f t="shared" si="3"/>
        <v>AMZN</v>
      </c>
      <c r="C98" t="s">
        <v>29</v>
      </c>
      <c r="D98" t="str">
        <f t="shared" si="4"/>
        <v>AMZN | totalNonCurrentAssets</v>
      </c>
      <c r="E98">
        <v>29732000000</v>
      </c>
      <c r="F98">
        <v>38475000000</v>
      </c>
      <c r="G98">
        <v>74484000000</v>
      </c>
      <c r="H98">
        <v>91662000000</v>
      </c>
      <c r="I98">
        <v>190405000000</v>
      </c>
      <c r="J98">
        <v>148451000000</v>
      </c>
      <c r="K98">
        <v>103810000000</v>
      </c>
      <c r="L98">
        <v>135273000000</v>
      </c>
      <c r="M98">
        <v>159019000000</v>
      </c>
    </row>
    <row r="99" spans="1:13" x14ac:dyDescent="0.25">
      <c r="A99">
        <f t="shared" si="5"/>
        <v>2</v>
      </c>
      <c r="B99" t="str">
        <f t="shared" si="3"/>
        <v>AMZN</v>
      </c>
      <c r="C99" t="s">
        <v>28</v>
      </c>
      <c r="D99" t="str">
        <f t="shared" si="4"/>
        <v>AMZN | propertyPlantEquipment</v>
      </c>
      <c r="E99">
        <v>21838000000</v>
      </c>
      <c r="F99">
        <v>29114000000</v>
      </c>
      <c r="G99">
        <v>48866000000</v>
      </c>
      <c r="H99">
        <v>61797000000</v>
      </c>
      <c r="I99">
        <v>72705000000</v>
      </c>
      <c r="J99">
        <v>45014000000</v>
      </c>
      <c r="K99">
        <v>160281000000</v>
      </c>
      <c r="L99">
        <v>186715000000</v>
      </c>
      <c r="M99">
        <v>204177000000</v>
      </c>
    </row>
    <row r="100" spans="1:13" x14ac:dyDescent="0.25">
      <c r="A100">
        <f t="shared" si="5"/>
        <v>2</v>
      </c>
      <c r="B100" t="str">
        <f t="shared" si="3"/>
        <v>AMZN</v>
      </c>
      <c r="C100" t="s">
        <v>27</v>
      </c>
      <c r="D100" t="str">
        <f t="shared" si="4"/>
        <v>AMZN | accumulatedDepreciationAmortizationPPE</v>
      </c>
      <c r="E100">
        <v>8215000000</v>
      </c>
      <c r="F100">
        <v>13327000000</v>
      </c>
      <c r="G100">
        <v>23790000000</v>
      </c>
      <c r="H100">
        <v>33973000000</v>
      </c>
      <c r="I100">
        <v>46975000000</v>
      </c>
    </row>
    <row r="101" spans="1:13" x14ac:dyDescent="0.25">
      <c r="A101">
        <f t="shared" si="5"/>
        <v>2</v>
      </c>
      <c r="B101" t="str">
        <f t="shared" si="3"/>
        <v>AMZN</v>
      </c>
      <c r="C101" t="s">
        <v>26</v>
      </c>
      <c r="D101" t="str">
        <f t="shared" si="4"/>
        <v>AMZN | intangibleAssets</v>
      </c>
      <c r="E101">
        <v>4521000000</v>
      </c>
      <c r="F101">
        <v>4638000000</v>
      </c>
      <c r="G101">
        <v>16721000000</v>
      </c>
      <c r="H101">
        <v>18658000000</v>
      </c>
      <c r="I101">
        <v>18803000000</v>
      </c>
      <c r="J101">
        <v>19998000000</v>
      </c>
      <c r="K101">
        <v>20478000000</v>
      </c>
      <c r="L101">
        <v>26385000000</v>
      </c>
      <c r="M101">
        <v>30476000000</v>
      </c>
    </row>
    <row r="102" spans="1:13" x14ac:dyDescent="0.25">
      <c r="A102">
        <f t="shared" si="5"/>
        <v>2</v>
      </c>
      <c r="B102" t="str">
        <f t="shared" si="3"/>
        <v>AMZN</v>
      </c>
      <c r="C102" t="s">
        <v>25</v>
      </c>
      <c r="D102" t="str">
        <f t="shared" si="4"/>
        <v>AMZN | intangibleAssetsExcludingGoodwill</v>
      </c>
      <c r="E102">
        <v>762000000</v>
      </c>
      <c r="F102">
        <v>854000000</v>
      </c>
      <c r="G102">
        <v>3371000000</v>
      </c>
      <c r="H102">
        <v>4110000000</v>
      </c>
      <c r="I102">
        <v>4049000000</v>
      </c>
      <c r="J102">
        <v>4981000000</v>
      </c>
      <c r="K102">
        <v>5107000000</v>
      </c>
      <c r="L102">
        <v>6097000000</v>
      </c>
      <c r="M102">
        <v>7687000000</v>
      </c>
    </row>
    <row r="103" spans="1:13" x14ac:dyDescent="0.25">
      <c r="A103">
        <f t="shared" si="5"/>
        <v>2</v>
      </c>
      <c r="B103" t="str">
        <f t="shared" si="3"/>
        <v>AMZN</v>
      </c>
      <c r="C103" t="s">
        <v>24</v>
      </c>
      <c r="D103" t="str">
        <f t="shared" si="4"/>
        <v>AMZN | goodwill</v>
      </c>
      <c r="E103">
        <v>3759000000</v>
      </c>
      <c r="F103">
        <v>3784000000</v>
      </c>
      <c r="G103">
        <v>13350000000</v>
      </c>
      <c r="H103">
        <v>14548000000</v>
      </c>
      <c r="I103">
        <v>14754000000</v>
      </c>
      <c r="J103">
        <v>15017000000</v>
      </c>
      <c r="K103">
        <v>15371000000</v>
      </c>
      <c r="L103">
        <v>20288000000</v>
      </c>
      <c r="M103">
        <v>22789000000</v>
      </c>
    </row>
    <row r="104" spans="1:13" x14ac:dyDescent="0.25">
      <c r="A104">
        <f t="shared" si="5"/>
        <v>2</v>
      </c>
      <c r="B104" t="str">
        <f t="shared" si="3"/>
        <v>AMZN</v>
      </c>
      <c r="C104" t="s">
        <v>23</v>
      </c>
      <c r="D104" t="str">
        <f t="shared" si="4"/>
        <v>AMZN | investments</v>
      </c>
      <c r="G104">
        <v>22286000000</v>
      </c>
      <c r="H104">
        <v>40567000000</v>
      </c>
      <c r="I104">
        <v>64288000000</v>
      </c>
      <c r="J104">
        <v>116207000000</v>
      </c>
      <c r="K104">
        <v>127810000000</v>
      </c>
      <c r="L104">
        <v>72154000000</v>
      </c>
      <c r="M104">
        <v>84312000000</v>
      </c>
    </row>
    <row r="105" spans="1:13" x14ac:dyDescent="0.25">
      <c r="A105">
        <f t="shared" si="5"/>
        <v>2</v>
      </c>
      <c r="B105" t="str">
        <f t="shared" si="3"/>
        <v>AMZN</v>
      </c>
      <c r="C105" t="s">
        <v>22</v>
      </c>
      <c r="D105" t="str">
        <f t="shared" si="4"/>
        <v>AMZN | longTermInvestments</v>
      </c>
      <c r="E105">
        <v>16000000</v>
      </c>
      <c r="F105">
        <v>223000000</v>
      </c>
      <c r="G105">
        <v>441000000</v>
      </c>
      <c r="H105">
        <v>722000000</v>
      </c>
      <c r="I105">
        <v>2169000000</v>
      </c>
    </row>
    <row r="106" spans="1:13" x14ac:dyDescent="0.25">
      <c r="A106">
        <f t="shared" si="5"/>
        <v>2</v>
      </c>
      <c r="B106" t="str">
        <f t="shared" si="3"/>
        <v>AMZN</v>
      </c>
      <c r="C106" t="s">
        <v>21</v>
      </c>
      <c r="D106" t="str">
        <f t="shared" si="4"/>
        <v>AMZN | shortTermInvestments</v>
      </c>
      <c r="E106">
        <v>3918000000</v>
      </c>
      <c r="F106">
        <v>6647000000</v>
      </c>
      <c r="G106">
        <v>10464000000</v>
      </c>
      <c r="H106">
        <v>9500000000</v>
      </c>
      <c r="I106">
        <v>18929000000</v>
      </c>
      <c r="J106">
        <v>42274000000</v>
      </c>
      <c r="K106">
        <v>59829000000</v>
      </c>
      <c r="L106">
        <v>16138000000</v>
      </c>
      <c r="M106">
        <v>13393000000</v>
      </c>
    </row>
    <row r="107" spans="1:13" x14ac:dyDescent="0.25">
      <c r="A107">
        <f t="shared" si="5"/>
        <v>2</v>
      </c>
      <c r="B107" t="str">
        <f t="shared" si="3"/>
        <v>AMZN</v>
      </c>
      <c r="C107" t="s">
        <v>20</v>
      </c>
      <c r="D107" t="str">
        <f t="shared" si="4"/>
        <v>AMZN | otherCurrentAssets</v>
      </c>
      <c r="E107">
        <v>-5654000000</v>
      </c>
      <c r="F107">
        <v>-8339000000</v>
      </c>
      <c r="G107">
        <v>-13164000000</v>
      </c>
      <c r="H107">
        <v>-16677000000</v>
      </c>
      <c r="I107">
        <v>276000000</v>
      </c>
      <c r="J107">
        <v>4942000000</v>
      </c>
      <c r="K107">
        <v>7391000000</v>
      </c>
      <c r="L107">
        <v>6158000000</v>
      </c>
      <c r="M107">
        <v>6897000000</v>
      </c>
    </row>
    <row r="108" spans="1:13" x14ac:dyDescent="0.25">
      <c r="A108">
        <f t="shared" si="5"/>
        <v>2</v>
      </c>
      <c r="B108" t="str">
        <f t="shared" si="3"/>
        <v>AMZN</v>
      </c>
      <c r="C108" t="s">
        <v>19</v>
      </c>
      <c r="D108" t="str">
        <f t="shared" si="4"/>
        <v>AMZN | otherNonCurrentAssets</v>
      </c>
      <c r="E108">
        <v>3445000000</v>
      </c>
      <c r="F108">
        <v>4723000000</v>
      </c>
      <c r="G108">
        <v>8897000000</v>
      </c>
      <c r="H108">
        <v>11202000000</v>
      </c>
      <c r="I108">
        <v>16314000000</v>
      </c>
      <c r="J108">
        <v>22778000000</v>
      </c>
      <c r="K108">
        <v>27235000000</v>
      </c>
      <c r="L108">
        <v>42758000000</v>
      </c>
      <c r="M108">
        <v>56024000000</v>
      </c>
    </row>
    <row r="109" spans="1:13" x14ac:dyDescent="0.25">
      <c r="A109">
        <f t="shared" si="5"/>
        <v>2</v>
      </c>
      <c r="B109" t="str">
        <f t="shared" si="3"/>
        <v>AMZN</v>
      </c>
      <c r="C109" t="s">
        <v>18</v>
      </c>
      <c r="D109" t="str">
        <f t="shared" si="4"/>
        <v>AMZN | totalLiabilities</v>
      </c>
      <c r="E109">
        <v>51363000000</v>
      </c>
      <c r="F109">
        <v>64117000000</v>
      </c>
      <c r="G109">
        <v>103601000000</v>
      </c>
      <c r="H109">
        <v>119099000000</v>
      </c>
      <c r="I109">
        <v>163188000000</v>
      </c>
      <c r="J109">
        <v>227791000000</v>
      </c>
      <c r="K109">
        <v>282304000000</v>
      </c>
      <c r="L109">
        <v>316632000000</v>
      </c>
      <c r="M109">
        <v>325979000000</v>
      </c>
    </row>
    <row r="110" spans="1:13" x14ac:dyDescent="0.25">
      <c r="A110">
        <f t="shared" si="5"/>
        <v>2</v>
      </c>
      <c r="B110" t="str">
        <f t="shared" si="3"/>
        <v>AMZN</v>
      </c>
      <c r="C110" t="s">
        <v>17</v>
      </c>
      <c r="D110" t="str">
        <f t="shared" si="4"/>
        <v>AMZN | totalCurrentLiabilities</v>
      </c>
      <c r="E110">
        <v>33887000000</v>
      </c>
      <c r="F110">
        <v>43816000000</v>
      </c>
      <c r="G110">
        <v>57883000000</v>
      </c>
      <c r="H110">
        <v>68391000000</v>
      </c>
      <c r="I110">
        <v>87812000000</v>
      </c>
      <c r="J110">
        <v>126385000000</v>
      </c>
      <c r="K110">
        <v>142266000000</v>
      </c>
      <c r="L110">
        <v>155393000000</v>
      </c>
      <c r="M110">
        <v>164917000000</v>
      </c>
    </row>
    <row r="111" spans="1:13" x14ac:dyDescent="0.25">
      <c r="A111">
        <f t="shared" si="5"/>
        <v>2</v>
      </c>
      <c r="B111" t="str">
        <f t="shared" si="3"/>
        <v>AMZN</v>
      </c>
      <c r="C111" t="s">
        <v>16</v>
      </c>
      <c r="D111" t="str">
        <f t="shared" si="4"/>
        <v>AMZN | currentAccountsPayable</v>
      </c>
      <c r="E111">
        <v>20397000000</v>
      </c>
      <c r="F111">
        <v>25309000000</v>
      </c>
      <c r="G111">
        <v>34616000000</v>
      </c>
      <c r="H111">
        <v>38192000000</v>
      </c>
      <c r="I111">
        <v>47183000000</v>
      </c>
      <c r="J111">
        <v>72539000000</v>
      </c>
      <c r="K111">
        <v>78664000000</v>
      </c>
      <c r="L111">
        <v>79600000000</v>
      </c>
      <c r="M111">
        <v>84981000000</v>
      </c>
    </row>
    <row r="112" spans="1:13" x14ac:dyDescent="0.25">
      <c r="A112">
        <f t="shared" si="5"/>
        <v>2</v>
      </c>
      <c r="B112" t="str">
        <f t="shared" si="3"/>
        <v>AMZN</v>
      </c>
      <c r="C112" t="s">
        <v>15</v>
      </c>
      <c r="D112" t="str">
        <f t="shared" si="4"/>
        <v>AMZN | deferredRevenue</v>
      </c>
      <c r="E112">
        <v>3118000000</v>
      </c>
      <c r="F112">
        <v>5267000000</v>
      </c>
      <c r="G112">
        <v>6100000000</v>
      </c>
      <c r="H112">
        <v>15836000000</v>
      </c>
      <c r="I112">
        <v>20390000000</v>
      </c>
      <c r="J112">
        <v>23208000000</v>
      </c>
      <c r="K112">
        <v>28027000000</v>
      </c>
      <c r="L112">
        <v>32227000000</v>
      </c>
      <c r="M112">
        <v>41527000000</v>
      </c>
    </row>
    <row r="113" spans="1:13" x14ac:dyDescent="0.25">
      <c r="A113">
        <f t="shared" si="5"/>
        <v>2</v>
      </c>
      <c r="B113" t="str">
        <f t="shared" si="3"/>
        <v>AMZN</v>
      </c>
      <c r="C113" t="s">
        <v>14</v>
      </c>
      <c r="D113" t="str">
        <f t="shared" si="4"/>
        <v>AMZN | currentDebt</v>
      </c>
      <c r="E113">
        <v>3265000000</v>
      </c>
      <c r="F113">
        <v>5053000000</v>
      </c>
      <c r="G113">
        <v>5900000000</v>
      </c>
      <c r="H113">
        <v>9071000000</v>
      </c>
      <c r="I113">
        <v>14330000000</v>
      </c>
      <c r="J113">
        <v>11529000000</v>
      </c>
      <c r="K113">
        <v>9574000000</v>
      </c>
      <c r="L113">
        <v>7396000000</v>
      </c>
      <c r="M113">
        <v>10526000000</v>
      </c>
    </row>
    <row r="114" spans="1:13" x14ac:dyDescent="0.25">
      <c r="A114">
        <f t="shared" si="5"/>
        <v>2</v>
      </c>
      <c r="B114" t="str">
        <f t="shared" si="3"/>
        <v>AMZN</v>
      </c>
      <c r="C114" t="s">
        <v>13</v>
      </c>
      <c r="D114" t="str">
        <f t="shared" si="4"/>
        <v>AMZN | shortTermDebt</v>
      </c>
      <c r="E114">
        <v>238000000</v>
      </c>
      <c r="F114">
        <v>5197000000</v>
      </c>
      <c r="G114">
        <v>6182000000</v>
      </c>
      <c r="H114">
        <v>9502000000</v>
      </c>
      <c r="I114">
        <v>1307000000</v>
      </c>
      <c r="J114">
        <v>16115000000</v>
      </c>
      <c r="K114">
        <v>318000000</v>
      </c>
      <c r="L114">
        <v>1200000000</v>
      </c>
      <c r="M114">
        <v>147000000</v>
      </c>
    </row>
    <row r="115" spans="1:13" x14ac:dyDescent="0.25">
      <c r="A115">
        <f t="shared" si="5"/>
        <v>2</v>
      </c>
      <c r="B115" t="str">
        <f t="shared" si="3"/>
        <v>AMZN</v>
      </c>
      <c r="C115" t="s">
        <v>12</v>
      </c>
      <c r="D115" t="str">
        <f t="shared" si="4"/>
        <v>AMZN | totalNonCurrentLiabilities</v>
      </c>
      <c r="E115">
        <v>23457000000</v>
      </c>
      <c r="F115">
        <v>25900000000</v>
      </c>
      <c r="G115">
        <v>55156000000</v>
      </c>
      <c r="H115">
        <v>61758000000</v>
      </c>
      <c r="I115">
        <v>77376000000</v>
      </c>
      <c r="J115">
        <v>103306000000</v>
      </c>
      <c r="K115">
        <v>142238000000</v>
      </c>
      <c r="L115">
        <v>164139000000</v>
      </c>
      <c r="M115">
        <v>166762000000</v>
      </c>
    </row>
    <row r="116" spans="1:13" x14ac:dyDescent="0.25">
      <c r="A116">
        <f t="shared" si="5"/>
        <v>2</v>
      </c>
      <c r="B116" t="str">
        <f t="shared" si="3"/>
        <v>AMZN</v>
      </c>
      <c r="C116" t="s">
        <v>11</v>
      </c>
      <c r="D116" t="str">
        <f t="shared" si="4"/>
        <v>AMZN | capitalLeaseObligations</v>
      </c>
      <c r="F116">
        <v>7519000000</v>
      </c>
      <c r="G116">
        <v>13183000000</v>
      </c>
      <c r="H116">
        <v>16292000000</v>
      </c>
      <c r="I116">
        <v>17095000000</v>
      </c>
      <c r="J116">
        <v>18060000000</v>
      </c>
      <c r="K116">
        <v>15670000000</v>
      </c>
      <c r="L116">
        <v>11386000000</v>
      </c>
      <c r="M116">
        <v>10077000000</v>
      </c>
    </row>
    <row r="117" spans="1:13" x14ac:dyDescent="0.25">
      <c r="A117">
        <f t="shared" si="5"/>
        <v>2</v>
      </c>
      <c r="B117" t="str">
        <f t="shared" si="3"/>
        <v>AMZN</v>
      </c>
      <c r="C117" t="s">
        <v>10</v>
      </c>
      <c r="D117" t="str">
        <f t="shared" si="4"/>
        <v>AMZN | longTermDebt</v>
      </c>
      <c r="E117">
        <v>8562000000</v>
      </c>
      <c r="F117">
        <v>8838000000</v>
      </c>
      <c r="G117">
        <v>24942000000</v>
      </c>
      <c r="H117">
        <v>24965000000</v>
      </c>
      <c r="I117">
        <v>24820000000</v>
      </c>
      <c r="J117">
        <v>33174000000</v>
      </c>
      <c r="K117">
        <v>50553000000</v>
      </c>
      <c r="L117">
        <v>70542000000</v>
      </c>
      <c r="M117">
        <v>67182000000</v>
      </c>
    </row>
    <row r="118" spans="1:13" x14ac:dyDescent="0.25">
      <c r="A118">
        <f t="shared" si="5"/>
        <v>2</v>
      </c>
      <c r="B118" t="str">
        <f t="shared" si="3"/>
        <v>AMZN</v>
      </c>
      <c r="C118" t="s">
        <v>9</v>
      </c>
      <c r="D118" t="str">
        <f t="shared" si="4"/>
        <v>AMZN | currentLongTermDebt</v>
      </c>
      <c r="E118">
        <v>238000000</v>
      </c>
      <c r="F118">
        <v>1056000000</v>
      </c>
      <c r="G118">
        <v>100000000</v>
      </c>
      <c r="H118">
        <v>1371000000</v>
      </c>
      <c r="I118">
        <v>1305000000</v>
      </c>
      <c r="J118">
        <v>1155000000</v>
      </c>
      <c r="K118">
        <v>1491000000</v>
      </c>
      <c r="L118">
        <v>2999000000</v>
      </c>
      <c r="M118">
        <v>8494000000</v>
      </c>
    </row>
    <row r="119" spans="1:13" x14ac:dyDescent="0.25">
      <c r="A119">
        <f t="shared" si="5"/>
        <v>2</v>
      </c>
      <c r="B119" t="str">
        <f t="shared" si="3"/>
        <v>AMZN</v>
      </c>
      <c r="C119" t="s">
        <v>8</v>
      </c>
      <c r="D119" t="str">
        <f t="shared" si="4"/>
        <v>AMZN | longTermDebtNoncurrent</v>
      </c>
      <c r="E119">
        <v>8227000000</v>
      </c>
      <c r="F119">
        <v>7694000000</v>
      </c>
      <c r="G119">
        <v>24743000000</v>
      </c>
      <c r="H119">
        <v>23495000000</v>
      </c>
      <c r="I119">
        <v>23414000000</v>
      </c>
      <c r="J119">
        <v>31816000000</v>
      </c>
      <c r="K119">
        <v>48744000000</v>
      </c>
      <c r="L119">
        <v>67150000000</v>
      </c>
      <c r="M119">
        <v>58314000000</v>
      </c>
    </row>
    <row r="120" spans="1:13" x14ac:dyDescent="0.25">
      <c r="A120">
        <f t="shared" si="5"/>
        <v>2</v>
      </c>
      <c r="B120" t="str">
        <f t="shared" si="3"/>
        <v>AMZN</v>
      </c>
      <c r="C120" t="s">
        <v>7</v>
      </c>
      <c r="D120" t="str">
        <f t="shared" si="4"/>
        <v>AMZN | shortLongTermDebtTotal</v>
      </c>
      <c r="E120">
        <v>8562000000</v>
      </c>
      <c r="F120">
        <v>8838000000</v>
      </c>
      <c r="G120">
        <v>24942000000</v>
      </c>
      <c r="H120">
        <v>24965000000</v>
      </c>
      <c r="I120">
        <v>24820000000</v>
      </c>
      <c r="J120">
        <v>33174000000</v>
      </c>
      <c r="K120">
        <v>50871000000</v>
      </c>
      <c r="L120">
        <v>71742000000</v>
      </c>
      <c r="M120">
        <v>67329000000</v>
      </c>
    </row>
    <row r="121" spans="1:13" x14ac:dyDescent="0.25">
      <c r="A121">
        <f t="shared" si="5"/>
        <v>2</v>
      </c>
      <c r="B121" t="str">
        <f t="shared" si="3"/>
        <v>AMZN</v>
      </c>
      <c r="C121" t="s">
        <v>6</v>
      </c>
      <c r="D121" t="str">
        <f t="shared" si="4"/>
        <v>AMZN | otherCurrentLiabilities</v>
      </c>
      <c r="E121">
        <v>10372000000</v>
      </c>
      <c r="F121">
        <v>13739000000</v>
      </c>
      <c r="G121">
        <v>18170000000</v>
      </c>
      <c r="H121">
        <v>23663000000</v>
      </c>
      <c r="I121">
        <v>32439000000</v>
      </c>
      <c r="J121">
        <v>44138000000</v>
      </c>
      <c r="K121">
        <v>51775000000</v>
      </c>
      <c r="L121">
        <v>62566000000</v>
      </c>
      <c r="M121">
        <v>64709000000</v>
      </c>
    </row>
    <row r="122" spans="1:13" x14ac:dyDescent="0.25">
      <c r="A122">
        <f t="shared" si="5"/>
        <v>2</v>
      </c>
      <c r="B122" t="str">
        <f t="shared" si="3"/>
        <v>AMZN</v>
      </c>
      <c r="C122" t="s">
        <v>5</v>
      </c>
      <c r="D122" t="str">
        <f t="shared" si="4"/>
        <v>AMZN | otherNonCurrentLiabilities</v>
      </c>
      <c r="E122">
        <v>9249000000</v>
      </c>
      <c r="F122">
        <v>12607000000</v>
      </c>
      <c r="G122">
        <v>20975000000</v>
      </c>
      <c r="H122">
        <v>17563000000</v>
      </c>
      <c r="I122">
        <v>12171000000</v>
      </c>
      <c r="J122">
        <v>17017000000</v>
      </c>
      <c r="K122">
        <v>23643000000</v>
      </c>
      <c r="L122">
        <v>21121000000</v>
      </c>
      <c r="M122">
        <v>25451000000</v>
      </c>
    </row>
    <row r="123" spans="1:13" x14ac:dyDescent="0.25">
      <c r="A123">
        <f t="shared" si="5"/>
        <v>2</v>
      </c>
      <c r="B123" t="str">
        <f t="shared" si="3"/>
        <v>AMZN</v>
      </c>
      <c r="C123" t="s">
        <v>4</v>
      </c>
      <c r="D123" t="str">
        <f t="shared" si="4"/>
        <v>AMZN | totalShareholderEquity</v>
      </c>
      <c r="E123">
        <v>13384000000</v>
      </c>
      <c r="F123">
        <v>19285000000</v>
      </c>
      <c r="G123">
        <v>27709000000</v>
      </c>
      <c r="H123">
        <v>43549000000</v>
      </c>
      <c r="I123">
        <v>62060000000</v>
      </c>
      <c r="J123">
        <v>93404000000</v>
      </c>
      <c r="K123">
        <v>138245000000</v>
      </c>
      <c r="L123">
        <v>146043000000</v>
      </c>
      <c r="M123">
        <v>201875000000</v>
      </c>
    </row>
    <row r="124" spans="1:13" x14ac:dyDescent="0.25">
      <c r="A124">
        <f t="shared" si="5"/>
        <v>2</v>
      </c>
      <c r="B124" t="str">
        <f t="shared" si="3"/>
        <v>AMZN</v>
      </c>
      <c r="C124" t="s">
        <v>3</v>
      </c>
      <c r="D124" t="str">
        <f t="shared" si="4"/>
        <v>AMZN | treasuryStock</v>
      </c>
      <c r="E124">
        <v>1837000000</v>
      </c>
      <c r="F124">
        <v>1837000000</v>
      </c>
      <c r="G124">
        <v>1837000000</v>
      </c>
      <c r="H124">
        <v>1837000000</v>
      </c>
      <c r="I124">
        <v>1837000000</v>
      </c>
      <c r="J124">
        <v>1837000000</v>
      </c>
      <c r="K124">
        <v>1837000000</v>
      </c>
      <c r="L124">
        <v>7837000000</v>
      </c>
      <c r="M124">
        <v>7837000000</v>
      </c>
    </row>
    <row r="125" spans="1:13" x14ac:dyDescent="0.25">
      <c r="A125">
        <f t="shared" si="5"/>
        <v>2</v>
      </c>
      <c r="B125" t="str">
        <f t="shared" si="3"/>
        <v>AMZN</v>
      </c>
      <c r="C125" t="s">
        <v>2</v>
      </c>
      <c r="D125" t="str">
        <f t="shared" si="4"/>
        <v>AMZN | retainedEarnings</v>
      </c>
      <c r="E125">
        <v>2545000000</v>
      </c>
      <c r="F125">
        <v>4916000000</v>
      </c>
      <c r="G125">
        <v>8636000000</v>
      </c>
      <c r="H125">
        <v>19625000000</v>
      </c>
      <c r="I125">
        <v>31220000000</v>
      </c>
      <c r="J125">
        <v>52551000000</v>
      </c>
      <c r="K125">
        <v>85915000000</v>
      </c>
      <c r="L125">
        <v>83193000000</v>
      </c>
      <c r="M125">
        <v>113618000000</v>
      </c>
    </row>
    <row r="126" spans="1:13" x14ac:dyDescent="0.25">
      <c r="A126">
        <f t="shared" si="5"/>
        <v>2</v>
      </c>
      <c r="B126" t="str">
        <f t="shared" si="3"/>
        <v>AMZN</v>
      </c>
      <c r="C126" t="s">
        <v>1</v>
      </c>
      <c r="D126" t="str">
        <f t="shared" si="4"/>
        <v>AMZN | commonStock</v>
      </c>
      <c r="E126">
        <v>5000000</v>
      </c>
      <c r="F126">
        <v>5000000</v>
      </c>
      <c r="G126">
        <v>5000000</v>
      </c>
      <c r="H126">
        <v>5000000</v>
      </c>
      <c r="I126">
        <v>5000000</v>
      </c>
      <c r="J126">
        <v>5000000</v>
      </c>
      <c r="K126">
        <v>106000000</v>
      </c>
      <c r="L126">
        <v>108000000</v>
      </c>
      <c r="M126">
        <v>109000000</v>
      </c>
    </row>
    <row r="127" spans="1:13" x14ac:dyDescent="0.25">
      <c r="A127">
        <f t="shared" si="5"/>
        <v>2</v>
      </c>
      <c r="B127" t="str">
        <f t="shared" si="3"/>
        <v>AMZN</v>
      </c>
      <c r="C127" t="s">
        <v>0</v>
      </c>
      <c r="D127" t="str">
        <f t="shared" si="4"/>
        <v>AMZN | commonStockSharesOutstanding</v>
      </c>
      <c r="E127">
        <v>471000000</v>
      </c>
      <c r="F127">
        <v>477000000</v>
      </c>
      <c r="G127">
        <v>484000000</v>
      </c>
      <c r="H127">
        <v>491000000</v>
      </c>
      <c r="I127">
        <v>498000000</v>
      </c>
      <c r="J127">
        <v>503000000</v>
      </c>
      <c r="K127">
        <v>509000000</v>
      </c>
      <c r="L127">
        <v>10242000000</v>
      </c>
      <c r="M127">
        <v>10383000000</v>
      </c>
    </row>
    <row r="128" spans="1:13" x14ac:dyDescent="0.25">
      <c r="A128">
        <f t="shared" si="5"/>
        <v>2</v>
      </c>
      <c r="B128" t="str">
        <f t="shared" si="3"/>
        <v>AMZN</v>
      </c>
      <c r="C128" t="s">
        <v>80</v>
      </c>
      <c r="D128" t="str">
        <f t="shared" si="4"/>
        <v>AMZN | GOOGL</v>
      </c>
      <c r="E128" t="s">
        <v>78</v>
      </c>
      <c r="F128" t="s">
        <v>77</v>
      </c>
      <c r="G128" t="s">
        <v>76</v>
      </c>
      <c r="H128" t="s">
        <v>75</v>
      </c>
      <c r="I128" t="s">
        <v>74</v>
      </c>
      <c r="J128" t="s">
        <v>73</v>
      </c>
      <c r="K128" t="s">
        <v>72</v>
      </c>
      <c r="L128" t="s">
        <v>71</v>
      </c>
      <c r="M128" t="s">
        <v>70</v>
      </c>
    </row>
    <row r="129" spans="1:13" x14ac:dyDescent="0.25">
      <c r="A129">
        <f t="shared" si="5"/>
        <v>3</v>
      </c>
      <c r="B129" t="str">
        <f t="shared" si="3"/>
        <v>GOOGL</v>
      </c>
      <c r="C129" t="s">
        <v>46</v>
      </c>
      <c r="D129" t="str">
        <f t="shared" si="4"/>
        <v>GOOGL | grossProfit</v>
      </c>
      <c r="E129">
        <v>46825000000</v>
      </c>
      <c r="F129">
        <v>55134000000</v>
      </c>
      <c r="G129">
        <v>65272000000</v>
      </c>
      <c r="H129">
        <v>77270000000</v>
      </c>
      <c r="I129">
        <v>89961000000</v>
      </c>
      <c r="J129">
        <v>97795000000</v>
      </c>
      <c r="K129">
        <v>146698000000</v>
      </c>
      <c r="L129">
        <v>155076000000</v>
      </c>
      <c r="M129">
        <v>172227000000</v>
      </c>
    </row>
    <row r="130" spans="1:13" x14ac:dyDescent="0.25">
      <c r="A130">
        <f t="shared" si="5"/>
        <v>3</v>
      </c>
      <c r="B130" t="str">
        <f t="shared" si="3"/>
        <v>GOOGL</v>
      </c>
      <c r="C130" t="s">
        <v>47</v>
      </c>
      <c r="D130" t="str">
        <f t="shared" si="4"/>
        <v>GOOGL | totalRevenue</v>
      </c>
      <c r="E130">
        <v>74989000000</v>
      </c>
      <c r="F130">
        <v>90272000000</v>
      </c>
      <c r="G130">
        <v>110855000000</v>
      </c>
      <c r="H130">
        <v>136819000000</v>
      </c>
      <c r="I130">
        <v>161857000000</v>
      </c>
      <c r="J130">
        <v>182527000000</v>
      </c>
      <c r="K130">
        <v>257637000000</v>
      </c>
      <c r="L130">
        <v>281279000000</v>
      </c>
      <c r="M130">
        <v>305559000000</v>
      </c>
    </row>
    <row r="131" spans="1:13" x14ac:dyDescent="0.25">
      <c r="A131">
        <f t="shared" si="5"/>
        <v>3</v>
      </c>
      <c r="B131" t="str">
        <f t="shared" si="3"/>
        <v>GOOGL</v>
      </c>
      <c r="C131" t="s">
        <v>48</v>
      </c>
      <c r="D131" t="str">
        <f t="shared" si="4"/>
        <v>GOOGL | costOfRevenue</v>
      </c>
      <c r="E131">
        <v>28164000000</v>
      </c>
      <c r="F131">
        <v>35138000000</v>
      </c>
      <c r="G131">
        <v>45583000000</v>
      </c>
      <c r="H131">
        <v>59549000000</v>
      </c>
      <c r="I131">
        <v>71896000000</v>
      </c>
      <c r="J131">
        <v>84732000000</v>
      </c>
      <c r="K131">
        <v>110939000000</v>
      </c>
      <c r="L131">
        <v>126203000000</v>
      </c>
      <c r="M131">
        <v>133332000000</v>
      </c>
    </row>
    <row r="132" spans="1:13" x14ac:dyDescent="0.25">
      <c r="A132">
        <f t="shared" si="5"/>
        <v>3</v>
      </c>
      <c r="B132" t="str">
        <f t="shared" si="3"/>
        <v>GOOGL</v>
      </c>
      <c r="C132" t="s">
        <v>49</v>
      </c>
      <c r="D132" t="str">
        <f t="shared" si="4"/>
        <v>GOOGL | costofGoodsAndServicesSold</v>
      </c>
      <c r="E132">
        <v>28164000000</v>
      </c>
      <c r="F132">
        <v>35138000000</v>
      </c>
      <c r="G132">
        <v>45583000000</v>
      </c>
      <c r="H132">
        <v>59549000000</v>
      </c>
      <c r="I132">
        <v>71896000000</v>
      </c>
      <c r="J132">
        <v>84732000000</v>
      </c>
      <c r="K132">
        <v>110939000000</v>
      </c>
      <c r="L132">
        <v>126203000000</v>
      </c>
      <c r="M132">
        <v>133332000000</v>
      </c>
    </row>
    <row r="133" spans="1:13" x14ac:dyDescent="0.25">
      <c r="A133">
        <f t="shared" si="5"/>
        <v>3</v>
      </c>
      <c r="B133" t="str">
        <f t="shared" ref="B133:B197" si="6">IF(C133="grossProfit",C132,B132)</f>
        <v>GOOGL</v>
      </c>
      <c r="C133" t="s">
        <v>50</v>
      </c>
      <c r="D133" t="str">
        <f t="shared" si="4"/>
        <v>GOOGL | operatingIncome</v>
      </c>
      <c r="E133">
        <v>19360000000</v>
      </c>
      <c r="F133">
        <v>23716000000</v>
      </c>
      <c r="G133">
        <v>26178000000</v>
      </c>
      <c r="H133">
        <v>27524000000</v>
      </c>
      <c r="I133">
        <v>34231000000</v>
      </c>
      <c r="J133">
        <v>41224000000</v>
      </c>
      <c r="K133">
        <v>78714000000</v>
      </c>
      <c r="L133">
        <v>74842000000</v>
      </c>
      <c r="M133">
        <v>84293000000</v>
      </c>
    </row>
    <row r="134" spans="1:13" x14ac:dyDescent="0.25">
      <c r="A134">
        <f t="shared" si="5"/>
        <v>3</v>
      </c>
      <c r="B134" t="str">
        <f t="shared" si="6"/>
        <v>GOOGL</v>
      </c>
      <c r="C134" t="s">
        <v>51</v>
      </c>
      <c r="D134" t="str">
        <f t="shared" ref="D134:D198" si="7">CONCATENATE(B134," | ",C134)</f>
        <v>GOOGL | sellingGeneralAndAdministrative</v>
      </c>
      <c r="E134">
        <v>15183000000</v>
      </c>
      <c r="F134">
        <v>17470000000</v>
      </c>
      <c r="G134">
        <v>19765000000</v>
      </c>
      <c r="H134">
        <v>24459000000</v>
      </c>
      <c r="I134">
        <v>28015000000</v>
      </c>
      <c r="J134">
        <v>28998000000</v>
      </c>
      <c r="K134">
        <v>36422000000</v>
      </c>
      <c r="L134">
        <v>42291000000</v>
      </c>
      <c r="M134">
        <v>44342000000</v>
      </c>
    </row>
    <row r="135" spans="1:13" x14ac:dyDescent="0.25">
      <c r="A135">
        <f t="shared" ref="A135:A199" si="8">IF(B135=B134,A134,A134+1)</f>
        <v>3</v>
      </c>
      <c r="B135" t="str">
        <f t="shared" si="6"/>
        <v>GOOGL</v>
      </c>
      <c r="C135" t="s">
        <v>52</v>
      </c>
      <c r="D135" t="str">
        <f t="shared" si="7"/>
        <v>GOOGL | researchAndDevelopment</v>
      </c>
      <c r="E135">
        <v>12282000000</v>
      </c>
      <c r="F135">
        <v>13948000000</v>
      </c>
      <c r="G135">
        <v>16625000000</v>
      </c>
      <c r="H135">
        <v>21419000000</v>
      </c>
      <c r="I135">
        <v>26018000000</v>
      </c>
      <c r="J135">
        <v>27573000000</v>
      </c>
      <c r="K135">
        <v>31562000000</v>
      </c>
      <c r="L135">
        <v>39500000000</v>
      </c>
      <c r="M135">
        <v>45427000000</v>
      </c>
    </row>
    <row r="136" spans="1:13" x14ac:dyDescent="0.25">
      <c r="A136">
        <f t="shared" si="8"/>
        <v>3</v>
      </c>
      <c r="B136" t="str">
        <f t="shared" si="6"/>
        <v>GOOGL</v>
      </c>
      <c r="C136" t="s">
        <v>53</v>
      </c>
      <c r="D136" t="str">
        <f t="shared" si="7"/>
        <v>GOOGL | operatingExpenses</v>
      </c>
      <c r="E136">
        <v>27465000000</v>
      </c>
      <c r="F136">
        <v>31418000000</v>
      </c>
      <c r="G136">
        <v>36390000000</v>
      </c>
      <c r="H136">
        <v>45878000000</v>
      </c>
      <c r="I136">
        <v>54033000000</v>
      </c>
      <c r="J136">
        <v>56571000000</v>
      </c>
      <c r="K136">
        <v>67984000000</v>
      </c>
      <c r="L136">
        <v>81791000000</v>
      </c>
      <c r="M136">
        <v>93702000000</v>
      </c>
    </row>
    <row r="137" spans="1:13" x14ac:dyDescent="0.25">
      <c r="A137">
        <f t="shared" si="8"/>
        <v>3</v>
      </c>
      <c r="B137" t="str">
        <f t="shared" si="6"/>
        <v>GOOGL</v>
      </c>
      <c r="C137" t="s">
        <v>54</v>
      </c>
      <c r="D137" t="str">
        <f t="shared" si="7"/>
        <v>GOOGL | investmentIncomeNet</v>
      </c>
    </row>
    <row r="138" spans="1:13" x14ac:dyDescent="0.25">
      <c r="A138">
        <f t="shared" si="8"/>
        <v>3</v>
      </c>
      <c r="B138" t="str">
        <f t="shared" si="6"/>
        <v>GOOGL</v>
      </c>
      <c r="C138" t="s">
        <v>55</v>
      </c>
      <c r="D138" t="str">
        <f t="shared" si="7"/>
        <v>GOOGL | netInterestIncome</v>
      </c>
      <c r="E138">
        <v>-104000000</v>
      </c>
      <c r="F138">
        <v>-124000000</v>
      </c>
      <c r="G138">
        <v>-109000000</v>
      </c>
      <c r="H138">
        <v>-114000000</v>
      </c>
      <c r="I138">
        <v>-100000000</v>
      </c>
      <c r="J138">
        <v>-135000000</v>
      </c>
      <c r="K138">
        <v>-346000000</v>
      </c>
      <c r="L138">
        <v>-357000000</v>
      </c>
      <c r="M138">
        <v>-308000000</v>
      </c>
    </row>
    <row r="139" spans="1:13" x14ac:dyDescent="0.25">
      <c r="A139">
        <f t="shared" si="8"/>
        <v>3</v>
      </c>
      <c r="B139" t="str">
        <f t="shared" si="6"/>
        <v>GOOGL</v>
      </c>
      <c r="C139" t="s">
        <v>56</v>
      </c>
      <c r="D139" t="str">
        <f t="shared" si="7"/>
        <v>GOOGL | interestIncome</v>
      </c>
      <c r="E139">
        <v>35000000</v>
      </c>
      <c r="F139">
        <v>1220000000</v>
      </c>
      <c r="G139">
        <v>1312000000</v>
      </c>
      <c r="H139">
        <v>1878000000</v>
      </c>
      <c r="I139">
        <v>2427000000</v>
      </c>
      <c r="J139">
        <v>1865000000</v>
      </c>
      <c r="K139">
        <v>1499000000</v>
      </c>
      <c r="L139">
        <v>2174000000</v>
      </c>
      <c r="M139">
        <v>3414000000</v>
      </c>
    </row>
    <row r="140" spans="1:13" x14ac:dyDescent="0.25">
      <c r="A140">
        <f t="shared" si="8"/>
        <v>3</v>
      </c>
      <c r="B140" t="str">
        <f t="shared" si="6"/>
        <v>GOOGL</v>
      </c>
      <c r="C140" t="s">
        <v>57</v>
      </c>
      <c r="D140" t="str">
        <f t="shared" si="7"/>
        <v>GOOGL | interestExpense</v>
      </c>
      <c r="E140">
        <v>104000000</v>
      </c>
      <c r="F140">
        <v>124000000</v>
      </c>
      <c r="G140">
        <v>109000000</v>
      </c>
      <c r="H140">
        <v>114000000</v>
      </c>
      <c r="I140">
        <v>100000000</v>
      </c>
      <c r="J140">
        <v>135000000</v>
      </c>
      <c r="K140">
        <v>346000000</v>
      </c>
      <c r="L140">
        <v>357000000</v>
      </c>
      <c r="M140">
        <v>308000000</v>
      </c>
    </row>
    <row r="141" spans="1:13" x14ac:dyDescent="0.25">
      <c r="A141">
        <f t="shared" si="8"/>
        <v>3</v>
      </c>
      <c r="B141" t="str">
        <f t="shared" si="6"/>
        <v>GOOGL</v>
      </c>
      <c r="C141" t="s">
        <v>58</v>
      </c>
      <c r="D141" t="str">
        <f t="shared" si="7"/>
        <v>GOOGL | nonInterestIncome</v>
      </c>
      <c r="E141">
        <v>-422000000</v>
      </c>
      <c r="F141">
        <v>-475000000</v>
      </c>
      <c r="G141">
        <v>-121000000</v>
      </c>
      <c r="H141">
        <v>139387000000</v>
      </c>
      <c r="I141">
        <v>162263000000</v>
      </c>
      <c r="J141">
        <v>994000000</v>
      </c>
      <c r="K141">
        <v>1087000000</v>
      </c>
      <c r="L141">
        <v>281636000000</v>
      </c>
      <c r="M141">
        <v>305867000000</v>
      </c>
    </row>
    <row r="142" spans="1:13" x14ac:dyDescent="0.25">
      <c r="A142">
        <f t="shared" si="8"/>
        <v>3</v>
      </c>
      <c r="B142" t="str">
        <f t="shared" si="6"/>
        <v>GOOGL</v>
      </c>
      <c r="C142" t="s">
        <v>59</v>
      </c>
      <c r="D142" t="str">
        <f t="shared" si="7"/>
        <v>GOOGL | otherNonOperatingIncome</v>
      </c>
      <c r="E142">
        <v>152000000</v>
      </c>
      <c r="F142">
        <v>88000000</v>
      </c>
      <c r="G142">
        <v>158000000</v>
      </c>
      <c r="H142">
        <v>378000000</v>
      </c>
      <c r="I142">
        <v>102000000</v>
      </c>
      <c r="J142">
        <v>-637000000</v>
      </c>
      <c r="K142">
        <v>411000000</v>
      </c>
      <c r="L142">
        <v>381000000</v>
      </c>
      <c r="M142">
        <v>299000000</v>
      </c>
    </row>
    <row r="143" spans="1:13" x14ac:dyDescent="0.25">
      <c r="A143">
        <f t="shared" si="8"/>
        <v>3</v>
      </c>
      <c r="B143" t="str">
        <f t="shared" si="6"/>
        <v>GOOGL</v>
      </c>
      <c r="C143" t="s">
        <v>60</v>
      </c>
      <c r="D143" t="str">
        <f t="shared" si="7"/>
        <v>GOOGL | depreciation</v>
      </c>
      <c r="L143">
        <v>13475000000</v>
      </c>
      <c r="M143">
        <v>11946000000</v>
      </c>
    </row>
    <row r="144" spans="1:13" x14ac:dyDescent="0.25">
      <c r="A144">
        <f t="shared" si="8"/>
        <v>3</v>
      </c>
      <c r="B144" t="str">
        <f t="shared" si="6"/>
        <v>GOOGL</v>
      </c>
      <c r="C144" t="s">
        <v>61</v>
      </c>
      <c r="D144" t="str">
        <f t="shared" si="7"/>
        <v>GOOGL | depreciationAndAmortization</v>
      </c>
      <c r="E144">
        <v>5063000000</v>
      </c>
      <c r="F144">
        <v>22816</v>
      </c>
      <c r="G144">
        <v>52516</v>
      </c>
      <c r="H144">
        <v>161141</v>
      </c>
      <c r="I144">
        <v>171860</v>
      </c>
      <c r="J144">
        <v>13697000000</v>
      </c>
      <c r="K144">
        <v>12441000000</v>
      </c>
      <c r="L144">
        <v>13475000000</v>
      </c>
      <c r="M144">
        <v>11946000000</v>
      </c>
    </row>
    <row r="145" spans="1:14" x14ac:dyDescent="0.25">
      <c r="A145">
        <f t="shared" si="8"/>
        <v>3</v>
      </c>
      <c r="B145" t="str">
        <f t="shared" si="6"/>
        <v>GOOGL</v>
      </c>
      <c r="C145" t="s">
        <v>62</v>
      </c>
      <c r="D145" t="str">
        <f t="shared" si="7"/>
        <v>GOOGL | incomeBeforeTax</v>
      </c>
      <c r="E145">
        <v>19651000000</v>
      </c>
      <c r="F145">
        <v>24150000000</v>
      </c>
      <c r="G145">
        <v>27193000000</v>
      </c>
      <c r="H145">
        <v>34913000000</v>
      </c>
      <c r="I145">
        <v>39625000000</v>
      </c>
      <c r="J145">
        <v>48082000000</v>
      </c>
      <c r="K145">
        <v>90734000000</v>
      </c>
      <c r="L145">
        <v>71328000000</v>
      </c>
      <c r="M145">
        <v>85717000000</v>
      </c>
    </row>
    <row r="146" spans="1:14" x14ac:dyDescent="0.25">
      <c r="A146">
        <f t="shared" si="8"/>
        <v>3</v>
      </c>
      <c r="B146" t="str">
        <f t="shared" si="6"/>
        <v>GOOGL</v>
      </c>
      <c r="C146" t="s">
        <v>63</v>
      </c>
      <c r="D146" t="str">
        <f t="shared" si="7"/>
        <v>GOOGL | incomeTaxExpense</v>
      </c>
      <c r="E146">
        <v>3303000000</v>
      </c>
      <c r="F146">
        <v>4672000000</v>
      </c>
      <c r="G146">
        <v>14531000000</v>
      </c>
      <c r="H146">
        <v>4177000000</v>
      </c>
      <c r="I146">
        <v>5282000000</v>
      </c>
      <c r="J146">
        <v>7813000000</v>
      </c>
      <c r="K146">
        <v>14701000000</v>
      </c>
      <c r="L146">
        <v>11356000000</v>
      </c>
      <c r="M146">
        <v>11922000000</v>
      </c>
    </row>
    <row r="147" spans="1:14" x14ac:dyDescent="0.25">
      <c r="A147">
        <f t="shared" si="8"/>
        <v>3</v>
      </c>
      <c r="B147" t="str">
        <f t="shared" si="6"/>
        <v>GOOGL</v>
      </c>
      <c r="C147" t="s">
        <v>64</v>
      </c>
      <c r="D147" t="str">
        <f t="shared" si="7"/>
        <v>GOOGL | interestAndDebtExpense</v>
      </c>
      <c r="E147">
        <v>104000000</v>
      </c>
      <c r="F147">
        <v>124000000</v>
      </c>
      <c r="G147">
        <v>109000000</v>
      </c>
      <c r="H147">
        <v>114000000</v>
      </c>
      <c r="I147">
        <v>100000000</v>
      </c>
      <c r="J147">
        <v>135000000</v>
      </c>
      <c r="K147">
        <v>346000000</v>
      </c>
      <c r="L147">
        <v>357000000</v>
      </c>
      <c r="M147">
        <v>308000000</v>
      </c>
    </row>
    <row r="148" spans="1:14" x14ac:dyDescent="0.25">
      <c r="A148">
        <f t="shared" si="8"/>
        <v>3</v>
      </c>
      <c r="B148" t="str">
        <f t="shared" si="6"/>
        <v>GOOGL</v>
      </c>
      <c r="C148" t="s">
        <v>65</v>
      </c>
      <c r="D148" t="str">
        <f t="shared" si="7"/>
        <v>GOOGL | netIncomeFromContinuingOperations</v>
      </c>
      <c r="E148">
        <v>16348000000</v>
      </c>
      <c r="F148">
        <v>19478000000</v>
      </c>
      <c r="G148">
        <v>12506000000</v>
      </c>
      <c r="H148">
        <v>30736000000</v>
      </c>
      <c r="I148">
        <v>34343000000</v>
      </c>
      <c r="J148">
        <v>40269000000</v>
      </c>
      <c r="K148">
        <v>76033000000</v>
      </c>
      <c r="L148">
        <v>59972000000</v>
      </c>
      <c r="M148">
        <v>73795000000</v>
      </c>
    </row>
    <row r="149" spans="1:14" x14ac:dyDescent="0.25">
      <c r="A149">
        <f t="shared" si="8"/>
        <v>3</v>
      </c>
      <c r="B149" t="str">
        <f t="shared" si="6"/>
        <v>GOOGL</v>
      </c>
      <c r="C149" t="s">
        <v>66</v>
      </c>
      <c r="D149" t="str">
        <f t="shared" si="7"/>
        <v>GOOGL | comprehensiveIncomeNetOfTax</v>
      </c>
      <c r="E149">
        <v>14447000000</v>
      </c>
      <c r="F149">
        <v>18950000000</v>
      </c>
      <c r="G149">
        <v>14072000000</v>
      </c>
      <c r="H149">
        <v>29520000000</v>
      </c>
      <c r="I149">
        <v>35447000000</v>
      </c>
      <c r="J149">
        <v>42134000000</v>
      </c>
      <c r="K149">
        <v>73777000000</v>
      </c>
      <c r="L149">
        <v>53992000000</v>
      </c>
      <c r="M149">
        <v>76996000000</v>
      </c>
    </row>
    <row r="150" spans="1:14" x14ac:dyDescent="0.25">
      <c r="A150">
        <f t="shared" si="8"/>
        <v>3</v>
      </c>
      <c r="B150" t="str">
        <f t="shared" si="6"/>
        <v>GOOGL</v>
      </c>
      <c r="C150" t="s">
        <v>67</v>
      </c>
      <c r="D150" t="str">
        <f t="shared" si="7"/>
        <v>GOOGL | ebit</v>
      </c>
      <c r="E150">
        <v>19755000000</v>
      </c>
      <c r="F150">
        <v>24274000000</v>
      </c>
      <c r="G150">
        <v>27302000000</v>
      </c>
      <c r="H150">
        <v>35027000000</v>
      </c>
      <c r="I150">
        <v>39725000000</v>
      </c>
      <c r="J150">
        <v>48217000000</v>
      </c>
      <c r="K150">
        <v>91080000000</v>
      </c>
      <c r="L150">
        <v>71685000000</v>
      </c>
      <c r="M150">
        <v>86025000000</v>
      </c>
    </row>
    <row r="151" spans="1:14" x14ac:dyDescent="0.25">
      <c r="A151">
        <f t="shared" si="8"/>
        <v>3</v>
      </c>
      <c r="B151" t="str">
        <f t="shared" si="6"/>
        <v>GOOGL</v>
      </c>
      <c r="C151" t="s">
        <v>68</v>
      </c>
      <c r="D151" t="str">
        <f t="shared" si="7"/>
        <v>GOOGL | ebitda</v>
      </c>
      <c r="E151">
        <v>24423000000</v>
      </c>
      <c r="F151">
        <v>29860000000</v>
      </c>
      <c r="G151">
        <v>38533000000</v>
      </c>
      <c r="H151">
        <v>45498000000</v>
      </c>
      <c r="I151">
        <v>49406000000</v>
      </c>
      <c r="J151">
        <v>61914000000</v>
      </c>
      <c r="K151">
        <v>103521000000</v>
      </c>
      <c r="L151">
        <v>91333000000</v>
      </c>
      <c r="M151">
        <v>97971000000</v>
      </c>
    </row>
    <row r="152" spans="1:14" x14ac:dyDescent="0.25">
      <c r="A152">
        <f t="shared" si="8"/>
        <v>3</v>
      </c>
      <c r="B152" t="str">
        <f t="shared" si="6"/>
        <v>GOOGL</v>
      </c>
      <c r="C152" t="s">
        <v>69</v>
      </c>
      <c r="D152" t="str">
        <f t="shared" si="7"/>
        <v>GOOGL | netIncome</v>
      </c>
      <c r="E152">
        <v>16348000000</v>
      </c>
      <c r="F152">
        <v>19478000000</v>
      </c>
      <c r="G152">
        <v>12662000000</v>
      </c>
      <c r="H152">
        <v>30736000000</v>
      </c>
      <c r="I152">
        <v>34343000000</v>
      </c>
      <c r="J152">
        <v>40269000000</v>
      </c>
      <c r="K152">
        <v>76033000000</v>
      </c>
      <c r="L152">
        <v>59972000000</v>
      </c>
      <c r="M152">
        <v>73795000000</v>
      </c>
    </row>
    <row r="153" spans="1:14" x14ac:dyDescent="0.25">
      <c r="A153">
        <f>IF(B153=B152,A152,A152+1)</f>
        <v>3</v>
      </c>
      <c r="B153" t="str">
        <f>IF(C153="grossProfit",C152,B152)</f>
        <v>GOOGL</v>
      </c>
      <c r="C153" t="s">
        <v>144</v>
      </c>
      <c r="D153" t="str">
        <f t="shared" si="7"/>
        <v>GOOGL | reportedEPS</v>
      </c>
      <c r="E153">
        <v>1.4790000000000001</v>
      </c>
      <c r="F153">
        <v>1.7170000000000001</v>
      </c>
      <c r="G153">
        <v>1.6005</v>
      </c>
      <c r="H153">
        <v>2.1850000000000001</v>
      </c>
      <c r="I153">
        <v>2.4590000000000001</v>
      </c>
      <c r="J153">
        <v>2.9434999999999998</v>
      </c>
      <c r="K153">
        <v>5.6</v>
      </c>
      <c r="L153">
        <v>4.55</v>
      </c>
      <c r="M153">
        <v>5.8</v>
      </c>
      <c r="N153">
        <v>5.9</v>
      </c>
    </row>
    <row r="154" spans="1:14" x14ac:dyDescent="0.25">
      <c r="A154">
        <f>IF(B154=B152,A152,A152+1)</f>
        <v>3</v>
      </c>
      <c r="B154" t="str">
        <f>IF(C154="grossProfit",C152,B152)</f>
        <v>GOOGL</v>
      </c>
      <c r="C154" t="s">
        <v>80</v>
      </c>
      <c r="D154" t="str">
        <f t="shared" si="7"/>
        <v>GOOGL | GOOGL</v>
      </c>
      <c r="E154" t="s">
        <v>78</v>
      </c>
      <c r="F154" t="s">
        <v>77</v>
      </c>
      <c r="G154" t="s">
        <v>76</v>
      </c>
      <c r="H154" t="s">
        <v>75</v>
      </c>
      <c r="I154" t="s">
        <v>74</v>
      </c>
      <c r="J154" t="s">
        <v>73</v>
      </c>
      <c r="K154" t="s">
        <v>72</v>
      </c>
      <c r="L154" t="s">
        <v>71</v>
      </c>
      <c r="M154" t="s">
        <v>70</v>
      </c>
    </row>
    <row r="155" spans="1:14" x14ac:dyDescent="0.25">
      <c r="A155">
        <f t="shared" si="8"/>
        <v>3</v>
      </c>
      <c r="B155" t="str">
        <f t="shared" si="6"/>
        <v>GOOGL</v>
      </c>
      <c r="C155" t="s">
        <v>35</v>
      </c>
      <c r="D155" t="str">
        <f t="shared" si="7"/>
        <v>GOOGL | totalAssets</v>
      </c>
      <c r="E155">
        <v>147461000000</v>
      </c>
      <c r="F155">
        <v>167497000000</v>
      </c>
      <c r="G155">
        <v>197295000000</v>
      </c>
      <c r="H155">
        <v>232792000000</v>
      </c>
      <c r="I155">
        <v>275909000000</v>
      </c>
      <c r="J155">
        <v>319616000000</v>
      </c>
      <c r="K155">
        <v>359268000000</v>
      </c>
      <c r="L155">
        <v>365264000000</v>
      </c>
      <c r="M155">
        <v>402392000000</v>
      </c>
    </row>
    <row r="156" spans="1:14" x14ac:dyDescent="0.25">
      <c r="A156">
        <f t="shared" si="8"/>
        <v>3</v>
      </c>
      <c r="B156" t="str">
        <f t="shared" si="6"/>
        <v>GOOGL</v>
      </c>
      <c r="C156" t="s">
        <v>34</v>
      </c>
      <c r="D156" t="str">
        <f t="shared" si="7"/>
        <v>GOOGL | totalCurrentAssets</v>
      </c>
      <c r="E156">
        <v>90114000000</v>
      </c>
      <c r="F156">
        <v>105408000000</v>
      </c>
      <c r="G156">
        <v>124308000000</v>
      </c>
      <c r="H156">
        <v>135676000000</v>
      </c>
      <c r="I156">
        <v>152578000000</v>
      </c>
      <c r="J156">
        <v>174296000000</v>
      </c>
      <c r="K156">
        <v>188143000000</v>
      </c>
      <c r="L156">
        <v>164795000000</v>
      </c>
      <c r="M156">
        <v>171530000000</v>
      </c>
    </row>
    <row r="157" spans="1:14" x14ac:dyDescent="0.25">
      <c r="A157">
        <f t="shared" si="8"/>
        <v>3</v>
      </c>
      <c r="B157" t="str">
        <f t="shared" si="6"/>
        <v>GOOGL</v>
      </c>
      <c r="C157" t="s">
        <v>33</v>
      </c>
      <c r="D157" t="str">
        <f t="shared" si="7"/>
        <v>GOOGL | cashAndCashEquivalentsAtCarryingValue</v>
      </c>
      <c r="E157">
        <v>16549000000</v>
      </c>
      <c r="F157">
        <v>12918000000</v>
      </c>
      <c r="G157">
        <v>10715000000</v>
      </c>
      <c r="H157">
        <v>16701000000</v>
      </c>
      <c r="I157">
        <v>18498000000</v>
      </c>
      <c r="J157">
        <v>26465000000</v>
      </c>
      <c r="K157">
        <v>20945000000</v>
      </c>
      <c r="L157">
        <v>21879000000</v>
      </c>
      <c r="M157">
        <v>24048000000</v>
      </c>
    </row>
    <row r="158" spans="1:14" x14ac:dyDescent="0.25">
      <c r="A158">
        <f t="shared" si="8"/>
        <v>3</v>
      </c>
      <c r="B158" t="str">
        <f t="shared" si="6"/>
        <v>GOOGL</v>
      </c>
      <c r="C158" t="s">
        <v>32</v>
      </c>
      <c r="D158" t="str">
        <f t="shared" si="7"/>
        <v>GOOGL | cashAndShortTermInvestments</v>
      </c>
      <c r="E158">
        <v>73066000000</v>
      </c>
      <c r="F158">
        <v>86333000000</v>
      </c>
      <c r="G158">
        <v>101871000000</v>
      </c>
      <c r="H158">
        <v>109140000000</v>
      </c>
      <c r="I158">
        <v>119675000000</v>
      </c>
      <c r="J158">
        <v>136694000000</v>
      </c>
      <c r="K158">
        <v>139649000000</v>
      </c>
      <c r="L158">
        <v>113762000000</v>
      </c>
      <c r="M158">
        <v>110916000000</v>
      </c>
    </row>
    <row r="159" spans="1:14" x14ac:dyDescent="0.25">
      <c r="A159">
        <f t="shared" si="8"/>
        <v>3</v>
      </c>
      <c r="B159" t="str">
        <f t="shared" si="6"/>
        <v>GOOGL</v>
      </c>
      <c r="C159" t="s">
        <v>31</v>
      </c>
      <c r="D159" t="str">
        <f t="shared" si="7"/>
        <v>GOOGL | inventory</v>
      </c>
      <c r="E159">
        <v>491000000</v>
      </c>
      <c r="F159">
        <v>268000000</v>
      </c>
      <c r="G159">
        <v>749000000</v>
      </c>
      <c r="H159">
        <v>1107000000</v>
      </c>
      <c r="I159">
        <v>999000000</v>
      </c>
      <c r="J159">
        <v>728000000</v>
      </c>
      <c r="K159">
        <v>1170000000</v>
      </c>
      <c r="L159">
        <v>2670000000</v>
      </c>
    </row>
    <row r="160" spans="1:14" x14ac:dyDescent="0.25">
      <c r="A160">
        <f t="shared" si="8"/>
        <v>3</v>
      </c>
      <c r="B160" t="str">
        <f t="shared" si="6"/>
        <v>GOOGL</v>
      </c>
      <c r="C160" t="s">
        <v>30</v>
      </c>
      <c r="D160" t="str">
        <f t="shared" si="7"/>
        <v>GOOGL | currentNetReceivables</v>
      </c>
      <c r="E160">
        <v>13459000000</v>
      </c>
      <c r="F160">
        <v>14232000000</v>
      </c>
      <c r="G160">
        <v>18705000000</v>
      </c>
      <c r="H160">
        <v>21193000000</v>
      </c>
      <c r="I160">
        <v>27492000000</v>
      </c>
      <c r="J160">
        <v>31384000000</v>
      </c>
      <c r="K160">
        <v>40270000000</v>
      </c>
      <c r="L160">
        <v>40258000000</v>
      </c>
      <c r="M160">
        <v>47964000000</v>
      </c>
    </row>
    <row r="161" spans="1:13" x14ac:dyDescent="0.25">
      <c r="A161">
        <f t="shared" si="8"/>
        <v>3</v>
      </c>
      <c r="B161" t="str">
        <f t="shared" si="6"/>
        <v>GOOGL</v>
      </c>
      <c r="C161" t="s">
        <v>29</v>
      </c>
      <c r="D161" t="str">
        <f t="shared" si="7"/>
        <v>GOOGL | totalNonCurrentAssets</v>
      </c>
      <c r="E161">
        <v>57347000000</v>
      </c>
      <c r="F161">
        <v>62089000000</v>
      </c>
      <c r="G161">
        <v>72987000000</v>
      </c>
      <c r="H161">
        <v>97116000000</v>
      </c>
      <c r="I161">
        <v>123331000000</v>
      </c>
      <c r="J161">
        <v>146720000000</v>
      </c>
      <c r="K161">
        <v>172625000000</v>
      </c>
      <c r="L161">
        <v>202772000000</v>
      </c>
      <c r="M161">
        <v>233962000000</v>
      </c>
    </row>
    <row r="162" spans="1:13" x14ac:dyDescent="0.25">
      <c r="A162">
        <f t="shared" si="8"/>
        <v>3</v>
      </c>
      <c r="B162" t="str">
        <f t="shared" si="6"/>
        <v>GOOGL</v>
      </c>
      <c r="C162" t="s">
        <v>28</v>
      </c>
      <c r="D162" t="str">
        <f t="shared" si="7"/>
        <v>GOOGL | propertyPlantEquipment</v>
      </c>
      <c r="E162">
        <v>29016000000</v>
      </c>
      <c r="F162">
        <v>34234000000</v>
      </c>
      <c r="G162">
        <v>42383000000</v>
      </c>
      <c r="H162">
        <v>59719000000</v>
      </c>
      <c r="I162">
        <v>73646000000</v>
      </c>
      <c r="J162">
        <v>84749000000</v>
      </c>
      <c r="K162">
        <v>97599000000</v>
      </c>
      <c r="L162">
        <v>112668000000</v>
      </c>
      <c r="M162">
        <v>134345000000</v>
      </c>
    </row>
    <row r="163" spans="1:13" x14ac:dyDescent="0.25">
      <c r="A163">
        <f t="shared" si="8"/>
        <v>3</v>
      </c>
      <c r="B163" t="str">
        <f t="shared" si="6"/>
        <v>GOOGL</v>
      </c>
      <c r="C163" t="s">
        <v>27</v>
      </c>
      <c r="D163" t="str">
        <f t="shared" si="7"/>
        <v>GOOGL | accumulatedDepreciationAmortizationPPE</v>
      </c>
      <c r="E163">
        <v>11130000000</v>
      </c>
      <c r="F163">
        <v>13293000000</v>
      </c>
      <c r="G163">
        <v>17264000000</v>
      </c>
      <c r="H163">
        <v>22788000000</v>
      </c>
      <c r="I163">
        <v>30561000000</v>
      </c>
      <c r="J163">
        <v>41713000000</v>
      </c>
      <c r="K163">
        <v>49414000000</v>
      </c>
      <c r="L163">
        <v>59042000000</v>
      </c>
      <c r="M163">
        <v>67458000000</v>
      </c>
    </row>
    <row r="164" spans="1:13" x14ac:dyDescent="0.25">
      <c r="A164">
        <f t="shared" si="8"/>
        <v>3</v>
      </c>
      <c r="B164" t="str">
        <f t="shared" si="6"/>
        <v>GOOGL</v>
      </c>
      <c r="C164" t="s">
        <v>26</v>
      </c>
      <c r="D164" t="str">
        <f t="shared" si="7"/>
        <v>GOOGL | intangibleAssets</v>
      </c>
      <c r="E164">
        <v>19716000000</v>
      </c>
      <c r="F164">
        <v>19775000000</v>
      </c>
      <c r="G164">
        <v>19439000000</v>
      </c>
      <c r="H164">
        <v>20108000000</v>
      </c>
      <c r="I164">
        <v>22603000000</v>
      </c>
      <c r="J164">
        <v>22620000000</v>
      </c>
      <c r="K164">
        <v>24373000000</v>
      </c>
      <c r="L164">
        <v>31044000000</v>
      </c>
      <c r="M164">
        <v>29198000000</v>
      </c>
    </row>
    <row r="165" spans="1:13" x14ac:dyDescent="0.25">
      <c r="A165">
        <f t="shared" si="8"/>
        <v>3</v>
      </c>
      <c r="B165" t="str">
        <f t="shared" si="6"/>
        <v>GOOGL</v>
      </c>
      <c r="C165" t="s">
        <v>25</v>
      </c>
      <c r="D165" t="str">
        <f t="shared" si="7"/>
        <v>GOOGL | intangibleAssetsExcludingGoodwill</v>
      </c>
      <c r="E165">
        <v>3847000000</v>
      </c>
      <c r="F165">
        <v>3307000000</v>
      </c>
      <c r="G165">
        <v>2692000000</v>
      </c>
      <c r="H165">
        <v>2220000000</v>
      </c>
      <c r="I165">
        <v>1979000000</v>
      </c>
      <c r="J165">
        <v>1445000000</v>
      </c>
      <c r="K165">
        <v>1417000000</v>
      </c>
      <c r="L165">
        <v>2084000000</v>
      </c>
    </row>
    <row r="166" spans="1:13" x14ac:dyDescent="0.25">
      <c r="A166">
        <f t="shared" si="8"/>
        <v>3</v>
      </c>
      <c r="B166" t="str">
        <f t="shared" si="6"/>
        <v>GOOGL</v>
      </c>
      <c r="C166" t="s">
        <v>24</v>
      </c>
      <c r="D166" t="str">
        <f t="shared" si="7"/>
        <v>GOOGL | goodwill</v>
      </c>
      <c r="E166">
        <v>15869000000</v>
      </c>
      <c r="F166">
        <v>16468000000</v>
      </c>
      <c r="G166">
        <v>16747000000</v>
      </c>
      <c r="H166">
        <v>17888000000</v>
      </c>
      <c r="I166">
        <v>20624000000</v>
      </c>
      <c r="J166">
        <v>21175000000</v>
      </c>
      <c r="K166">
        <v>22956000000</v>
      </c>
      <c r="L166">
        <v>28960000000</v>
      </c>
      <c r="M166">
        <v>29198000000</v>
      </c>
    </row>
    <row r="167" spans="1:13" x14ac:dyDescent="0.25">
      <c r="A167">
        <f t="shared" si="8"/>
        <v>3</v>
      </c>
      <c r="B167" t="str">
        <f t="shared" si="6"/>
        <v>GOOGL</v>
      </c>
      <c r="C167" t="s">
        <v>23</v>
      </c>
      <c r="D167" t="str">
        <f t="shared" si="7"/>
        <v>GOOGL | investments</v>
      </c>
      <c r="E167">
        <v>65462000000</v>
      </c>
      <c r="F167">
        <v>84085000000</v>
      </c>
      <c r="G167">
        <v>104357000000</v>
      </c>
      <c r="H167">
        <v>199328000000</v>
      </c>
      <c r="I167">
        <v>119195000000</v>
      </c>
      <c r="J167">
        <v>138984000000</v>
      </c>
      <c r="K167">
        <v>152164000000</v>
      </c>
      <c r="L167">
        <v>212885000000</v>
      </c>
      <c r="M167">
        <v>203704000000</v>
      </c>
    </row>
    <row r="168" spans="1:13" x14ac:dyDescent="0.25">
      <c r="A168">
        <f t="shared" si="8"/>
        <v>3</v>
      </c>
      <c r="B168" t="str">
        <f t="shared" si="6"/>
        <v>GOOGL</v>
      </c>
      <c r="C168" t="s">
        <v>22</v>
      </c>
      <c r="D168" t="str">
        <f t="shared" si="7"/>
        <v>GOOGL | longTermInvestments</v>
      </c>
      <c r="E168">
        <v>9383000000</v>
      </c>
      <c r="F168">
        <v>10578000000</v>
      </c>
      <c r="G168">
        <v>13713000000</v>
      </c>
      <c r="H168">
        <v>15159000000</v>
      </c>
      <c r="I168">
        <v>14378000000</v>
      </c>
      <c r="J168">
        <v>22103000000</v>
      </c>
      <c r="K168">
        <v>31049000000</v>
      </c>
      <c r="L168">
        <v>32795000000</v>
      </c>
      <c r="M168">
        <v>34108000000</v>
      </c>
    </row>
    <row r="169" spans="1:13" x14ac:dyDescent="0.25">
      <c r="A169">
        <f t="shared" si="8"/>
        <v>3</v>
      </c>
      <c r="B169" t="str">
        <f t="shared" si="6"/>
        <v>GOOGL</v>
      </c>
      <c r="C169" t="s">
        <v>21</v>
      </c>
      <c r="D169" t="str">
        <f t="shared" si="7"/>
        <v>GOOGL | shortTermInvestments</v>
      </c>
      <c r="E169">
        <v>56517000000</v>
      </c>
      <c r="F169">
        <v>73415000000</v>
      </c>
      <c r="G169">
        <v>91156000000</v>
      </c>
      <c r="H169">
        <v>92439000000</v>
      </c>
      <c r="I169">
        <v>101177000000</v>
      </c>
      <c r="J169">
        <v>110229000000</v>
      </c>
      <c r="K169">
        <v>118704000000</v>
      </c>
      <c r="L169">
        <v>91883000000</v>
      </c>
      <c r="M169">
        <v>86868000000</v>
      </c>
    </row>
    <row r="170" spans="1:13" x14ac:dyDescent="0.25">
      <c r="A170">
        <f t="shared" si="8"/>
        <v>3</v>
      </c>
      <c r="B170" t="str">
        <f t="shared" si="6"/>
        <v>GOOGL</v>
      </c>
      <c r="C170" t="s">
        <v>20</v>
      </c>
      <c r="D170" t="str">
        <f t="shared" si="7"/>
        <v>GOOGL | otherCurrentAssets</v>
      </c>
      <c r="E170">
        <v>3139000000</v>
      </c>
      <c r="F170">
        <v>4575000000</v>
      </c>
      <c r="G170">
        <v>2983000000</v>
      </c>
      <c r="H170">
        <v>4236000000</v>
      </c>
      <c r="I170">
        <v>4412000000</v>
      </c>
      <c r="J170">
        <v>5490000000</v>
      </c>
      <c r="K170">
        <v>8020000000</v>
      </c>
      <c r="L170">
        <v>10775000000</v>
      </c>
      <c r="M170">
        <v>12650000000</v>
      </c>
    </row>
    <row r="171" spans="1:13" x14ac:dyDescent="0.25">
      <c r="A171">
        <f t="shared" si="8"/>
        <v>3</v>
      </c>
      <c r="B171" t="str">
        <f t="shared" si="6"/>
        <v>GOOGL</v>
      </c>
      <c r="C171" t="s">
        <v>19</v>
      </c>
      <c r="D171" t="str">
        <f t="shared" si="7"/>
        <v>GOOGL | otherNonCurrentAssets</v>
      </c>
      <c r="F171">
        <v>1819000000</v>
      </c>
      <c r="G171">
        <v>2672000000</v>
      </c>
      <c r="H171">
        <v>2693000000</v>
      </c>
      <c r="I171">
        <v>2342000000</v>
      </c>
      <c r="J171">
        <v>3953000000</v>
      </c>
      <c r="K171">
        <v>5361000000</v>
      </c>
      <c r="L171">
        <v>8707000000</v>
      </c>
      <c r="M171">
        <v>10051000000</v>
      </c>
    </row>
    <row r="172" spans="1:13" x14ac:dyDescent="0.25">
      <c r="A172">
        <f t="shared" si="8"/>
        <v>3</v>
      </c>
      <c r="B172" t="str">
        <f t="shared" si="6"/>
        <v>GOOGL</v>
      </c>
      <c r="C172" t="s">
        <v>18</v>
      </c>
      <c r="D172" t="str">
        <f t="shared" si="7"/>
        <v>GOOGL | totalLiabilities</v>
      </c>
      <c r="E172">
        <v>27130000000</v>
      </c>
      <c r="F172">
        <v>28461000000</v>
      </c>
      <c r="G172">
        <v>44793000000</v>
      </c>
      <c r="H172">
        <v>55164000000</v>
      </c>
      <c r="I172">
        <v>74467000000</v>
      </c>
      <c r="J172">
        <v>97072000000</v>
      </c>
      <c r="K172">
        <v>107633000000</v>
      </c>
      <c r="L172">
        <v>109120000000</v>
      </c>
      <c r="M172">
        <v>119013000000</v>
      </c>
    </row>
    <row r="173" spans="1:13" x14ac:dyDescent="0.25">
      <c r="A173">
        <f t="shared" si="8"/>
        <v>3</v>
      </c>
      <c r="B173" t="str">
        <f t="shared" si="6"/>
        <v>GOOGL</v>
      </c>
      <c r="C173" t="s">
        <v>17</v>
      </c>
      <c r="D173" t="str">
        <f t="shared" si="7"/>
        <v>GOOGL | totalCurrentLiabilities</v>
      </c>
      <c r="E173">
        <v>19310000000</v>
      </c>
      <c r="F173">
        <v>16756000000</v>
      </c>
      <c r="G173">
        <v>24183000000</v>
      </c>
      <c r="H173">
        <v>34620000000</v>
      </c>
      <c r="I173">
        <v>45221000000</v>
      </c>
      <c r="J173">
        <v>56834000000</v>
      </c>
      <c r="K173">
        <v>64254000000</v>
      </c>
      <c r="L173">
        <v>69300000000</v>
      </c>
      <c r="M173">
        <v>81814000000</v>
      </c>
    </row>
    <row r="174" spans="1:13" x14ac:dyDescent="0.25">
      <c r="A174">
        <f t="shared" si="8"/>
        <v>3</v>
      </c>
      <c r="B174" t="str">
        <f t="shared" si="6"/>
        <v>GOOGL</v>
      </c>
      <c r="C174" t="s">
        <v>16</v>
      </c>
      <c r="D174" t="str">
        <f t="shared" si="7"/>
        <v>GOOGL | currentAccountsPayable</v>
      </c>
      <c r="E174">
        <v>1931000000</v>
      </c>
      <c r="F174">
        <v>2041000000</v>
      </c>
      <c r="G174">
        <v>3137000000</v>
      </c>
      <c r="H174">
        <v>4378000000</v>
      </c>
      <c r="I174">
        <v>5561000000</v>
      </c>
      <c r="J174">
        <v>5589000000</v>
      </c>
      <c r="K174">
        <v>6037000000</v>
      </c>
      <c r="L174">
        <v>5128000000</v>
      </c>
      <c r="M174">
        <v>7493000000</v>
      </c>
    </row>
    <row r="175" spans="1:13" x14ac:dyDescent="0.25">
      <c r="A175">
        <f t="shared" si="8"/>
        <v>3</v>
      </c>
      <c r="B175" t="str">
        <f t="shared" si="6"/>
        <v>GOOGL</v>
      </c>
      <c r="C175" t="s">
        <v>15</v>
      </c>
      <c r="D175" t="str">
        <f t="shared" si="7"/>
        <v>GOOGL | deferredRevenue</v>
      </c>
      <c r="E175">
        <v>939000000</v>
      </c>
      <c r="F175">
        <v>1301000000</v>
      </c>
      <c r="G175">
        <v>1772000000</v>
      </c>
      <c r="H175">
        <v>2180000000</v>
      </c>
      <c r="I175">
        <v>2266000000</v>
      </c>
      <c r="J175">
        <v>3024000000</v>
      </c>
      <c r="K175">
        <v>3823000000</v>
      </c>
      <c r="L175">
        <v>4507000000</v>
      </c>
      <c r="M175">
        <v>5048000000</v>
      </c>
    </row>
    <row r="176" spans="1:13" x14ac:dyDescent="0.25">
      <c r="A176">
        <f t="shared" si="8"/>
        <v>3</v>
      </c>
      <c r="B176" t="str">
        <f t="shared" si="6"/>
        <v>GOOGL</v>
      </c>
      <c r="C176" t="s">
        <v>14</v>
      </c>
      <c r="D176" t="str">
        <f t="shared" si="7"/>
        <v>GOOGL | currentDebt</v>
      </c>
      <c r="E176">
        <v>3225000000</v>
      </c>
      <c r="F176">
        <v>0</v>
      </c>
      <c r="G176">
        <v>0</v>
      </c>
      <c r="I176">
        <v>1199000000</v>
      </c>
      <c r="J176">
        <v>1100000000</v>
      </c>
      <c r="K176">
        <v>113000000</v>
      </c>
      <c r="L176">
        <v>298000000</v>
      </c>
      <c r="M176">
        <v>1363000000</v>
      </c>
    </row>
    <row r="177" spans="1:13" x14ac:dyDescent="0.25">
      <c r="A177">
        <f t="shared" si="8"/>
        <v>3</v>
      </c>
      <c r="B177" t="str">
        <f t="shared" si="6"/>
        <v>GOOGL</v>
      </c>
      <c r="C177" t="s">
        <v>13</v>
      </c>
      <c r="D177" t="str">
        <f t="shared" si="7"/>
        <v>GOOGL | shortTermDebt</v>
      </c>
      <c r="E177">
        <v>2000000000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f t="shared" si="8"/>
        <v>3</v>
      </c>
      <c r="B178" t="str">
        <f t="shared" si="6"/>
        <v>GOOGL</v>
      </c>
      <c r="C178" t="s">
        <v>12</v>
      </c>
      <c r="D178" t="str">
        <f t="shared" si="7"/>
        <v>GOOGL | totalNonCurrentLiabilities</v>
      </c>
      <c r="E178">
        <v>7820000000</v>
      </c>
      <c r="F178">
        <v>11705000000</v>
      </c>
      <c r="G178">
        <v>20180000000</v>
      </c>
      <c r="H178">
        <v>19280000000</v>
      </c>
      <c r="I178">
        <v>19032000000</v>
      </c>
      <c r="J178">
        <v>40238000000</v>
      </c>
      <c r="K178">
        <v>43379000000</v>
      </c>
      <c r="L178">
        <v>39820000000</v>
      </c>
      <c r="M178">
        <v>37199000000</v>
      </c>
    </row>
    <row r="179" spans="1:13" x14ac:dyDescent="0.25">
      <c r="A179">
        <f t="shared" si="8"/>
        <v>3</v>
      </c>
      <c r="B179" t="str">
        <f t="shared" si="6"/>
        <v>GOOGL</v>
      </c>
      <c r="C179" t="s">
        <v>11</v>
      </c>
      <c r="D179" t="str">
        <f t="shared" si="7"/>
        <v>GOOGL | capitalLeaseObligations</v>
      </c>
      <c r="G179">
        <v>26000000</v>
      </c>
      <c r="H179">
        <v>62000000</v>
      </c>
      <c r="I179">
        <v>685000000</v>
      </c>
      <c r="J179">
        <v>1100000000</v>
      </c>
      <c r="K179">
        <v>1973000000</v>
      </c>
      <c r="L179">
        <v>1844000000</v>
      </c>
      <c r="M179">
        <v>1383000000</v>
      </c>
    </row>
    <row r="180" spans="1:13" x14ac:dyDescent="0.25">
      <c r="A180">
        <f t="shared" si="8"/>
        <v>3</v>
      </c>
      <c r="B180" t="str">
        <f t="shared" si="6"/>
        <v>GOOGL</v>
      </c>
      <c r="C180" t="s">
        <v>10</v>
      </c>
      <c r="D180" t="str">
        <f t="shared" si="7"/>
        <v>GOOGL | longTermDebt</v>
      </c>
      <c r="E180">
        <v>3225000000</v>
      </c>
      <c r="F180">
        <v>4000000000</v>
      </c>
      <c r="G180">
        <v>4026000000</v>
      </c>
      <c r="H180">
        <v>4062000000</v>
      </c>
      <c r="I180">
        <v>4685000000</v>
      </c>
      <c r="J180">
        <v>15319000000</v>
      </c>
      <c r="K180">
        <v>15440000000</v>
      </c>
      <c r="L180">
        <v>15312000000</v>
      </c>
      <c r="M180">
        <v>14862000000</v>
      </c>
    </row>
    <row r="181" spans="1:13" x14ac:dyDescent="0.25">
      <c r="A181">
        <f t="shared" si="8"/>
        <v>3</v>
      </c>
      <c r="B181" t="str">
        <f t="shared" si="6"/>
        <v>GOOGL</v>
      </c>
      <c r="C181" t="s">
        <v>9</v>
      </c>
      <c r="D181" t="str">
        <f t="shared" si="7"/>
        <v>GOOGL | currentLongTermDebt</v>
      </c>
      <c r="E181">
        <v>1225000000</v>
      </c>
      <c r="F181">
        <v>3935000000</v>
      </c>
      <c r="G181">
        <v>3969000000</v>
      </c>
      <c r="I181">
        <v>0</v>
      </c>
      <c r="J181">
        <v>999000000</v>
      </c>
      <c r="K181">
        <v>0</v>
      </c>
      <c r="L181">
        <v>0</v>
      </c>
      <c r="M181">
        <v>1000000000</v>
      </c>
    </row>
    <row r="182" spans="1:13" x14ac:dyDescent="0.25">
      <c r="A182">
        <f t="shared" si="8"/>
        <v>3</v>
      </c>
      <c r="B182" t="str">
        <f t="shared" si="6"/>
        <v>GOOGL</v>
      </c>
      <c r="C182" t="s">
        <v>8</v>
      </c>
      <c r="D182" t="str">
        <f t="shared" si="7"/>
        <v>GOOGL | longTermDebtNoncurrent</v>
      </c>
      <c r="E182">
        <v>1995000000</v>
      </c>
      <c r="F182">
        <v>3935000000</v>
      </c>
      <c r="G182">
        <v>3943000000</v>
      </c>
      <c r="H182">
        <v>3950000000</v>
      </c>
      <c r="I182">
        <v>3958000000</v>
      </c>
      <c r="J182">
        <v>14000000000</v>
      </c>
      <c r="K182">
        <v>12400000000</v>
      </c>
      <c r="L182">
        <v>9900000000</v>
      </c>
      <c r="M182">
        <v>10300000000</v>
      </c>
    </row>
    <row r="183" spans="1:13" x14ac:dyDescent="0.25">
      <c r="A183">
        <f t="shared" si="8"/>
        <v>3</v>
      </c>
      <c r="B183" t="str">
        <f t="shared" si="6"/>
        <v>GOOGL</v>
      </c>
      <c r="C183" t="s">
        <v>7</v>
      </c>
      <c r="D183" t="str">
        <f t="shared" si="7"/>
        <v>GOOGL | shortLongTermDebtTotal</v>
      </c>
      <c r="E183">
        <v>5225000000</v>
      </c>
      <c r="F183">
        <v>4000000000</v>
      </c>
      <c r="G183">
        <v>4026000000</v>
      </c>
      <c r="H183">
        <v>4062000000</v>
      </c>
      <c r="I183">
        <v>4685000000</v>
      </c>
      <c r="J183">
        <v>15319000000</v>
      </c>
      <c r="K183">
        <v>15440000000</v>
      </c>
      <c r="L183">
        <v>15312000000</v>
      </c>
      <c r="M183">
        <v>14862000000</v>
      </c>
    </row>
    <row r="184" spans="1:13" x14ac:dyDescent="0.25">
      <c r="A184">
        <f t="shared" si="8"/>
        <v>3</v>
      </c>
      <c r="B184" t="str">
        <f t="shared" si="6"/>
        <v>GOOGL</v>
      </c>
      <c r="C184" t="s">
        <v>6</v>
      </c>
      <c r="D184" t="str">
        <f t="shared" si="7"/>
        <v>GOOGL | otherCurrentLiabilities</v>
      </c>
      <c r="E184">
        <v>13366000000</v>
      </c>
      <c r="F184">
        <v>13062000000</v>
      </c>
      <c r="G184">
        <v>2874000000</v>
      </c>
      <c r="H184">
        <v>28389000000</v>
      </c>
      <c r="I184">
        <v>36553000000</v>
      </c>
      <c r="J184">
        <v>45523000000</v>
      </c>
      <c r="K184">
        <v>51932000000</v>
      </c>
      <c r="L184">
        <v>48529000000</v>
      </c>
      <c r="M184">
        <v>64645000000</v>
      </c>
    </row>
    <row r="185" spans="1:13" x14ac:dyDescent="0.25">
      <c r="A185">
        <f t="shared" si="8"/>
        <v>3</v>
      </c>
      <c r="B185" t="str">
        <f t="shared" si="6"/>
        <v>GOOGL</v>
      </c>
      <c r="C185" t="s">
        <v>5</v>
      </c>
      <c r="D185" t="str">
        <f t="shared" si="7"/>
        <v>GOOGL | otherNonCurrentLiabilities</v>
      </c>
      <c r="E185">
        <v>1822000000</v>
      </c>
      <c r="F185">
        <v>2665000000</v>
      </c>
      <c r="G185">
        <v>3059000000</v>
      </c>
      <c r="H185">
        <v>3545000000</v>
      </c>
      <c r="I185">
        <v>2534000000</v>
      </c>
      <c r="J185">
        <v>2269000000</v>
      </c>
      <c r="K185">
        <v>2205000000</v>
      </c>
      <c r="L185">
        <v>2247000000</v>
      </c>
      <c r="M185">
        <v>1616000000</v>
      </c>
    </row>
    <row r="186" spans="1:13" x14ac:dyDescent="0.25">
      <c r="A186">
        <f t="shared" si="8"/>
        <v>3</v>
      </c>
      <c r="B186" t="str">
        <f t="shared" si="6"/>
        <v>GOOGL</v>
      </c>
      <c r="C186" t="s">
        <v>4</v>
      </c>
      <c r="D186" t="str">
        <f t="shared" si="7"/>
        <v>GOOGL | totalShareholderEquity</v>
      </c>
      <c r="E186">
        <v>120331000000</v>
      </c>
      <c r="F186">
        <v>139036000000</v>
      </c>
      <c r="G186">
        <v>152502000000</v>
      </c>
      <c r="H186">
        <v>177628000000</v>
      </c>
      <c r="I186">
        <v>201442000000</v>
      </c>
      <c r="J186">
        <v>222544000000</v>
      </c>
      <c r="K186">
        <v>251635000000</v>
      </c>
      <c r="L186">
        <v>256144000000</v>
      </c>
      <c r="M186">
        <v>283379000000</v>
      </c>
    </row>
    <row r="187" spans="1:13" x14ac:dyDescent="0.25">
      <c r="A187">
        <f t="shared" si="8"/>
        <v>3</v>
      </c>
      <c r="B187" t="str">
        <f t="shared" si="6"/>
        <v>GOOGL</v>
      </c>
      <c r="C187" t="s">
        <v>3</v>
      </c>
      <c r="D187" t="str">
        <f t="shared" si="7"/>
        <v>GOOGL | treasuryStock</v>
      </c>
    </row>
    <row r="188" spans="1:13" x14ac:dyDescent="0.25">
      <c r="A188">
        <f t="shared" si="8"/>
        <v>3</v>
      </c>
      <c r="B188" t="str">
        <f t="shared" si="6"/>
        <v>GOOGL</v>
      </c>
      <c r="C188" t="s">
        <v>2</v>
      </c>
      <c r="D188" t="str">
        <f t="shared" si="7"/>
        <v>GOOGL | retainedEarnings</v>
      </c>
      <c r="E188">
        <v>89223000000</v>
      </c>
      <c r="F188">
        <v>105131000000</v>
      </c>
      <c r="G188">
        <v>113247000000</v>
      </c>
      <c r="H188">
        <v>134885000000</v>
      </c>
      <c r="I188">
        <v>152122000000</v>
      </c>
      <c r="J188">
        <v>163401000000</v>
      </c>
      <c r="K188">
        <v>191484000000</v>
      </c>
      <c r="L188">
        <v>195563000000</v>
      </c>
      <c r="M188">
        <v>211247000000</v>
      </c>
    </row>
    <row r="189" spans="1:13" x14ac:dyDescent="0.25">
      <c r="A189">
        <f t="shared" si="8"/>
        <v>3</v>
      </c>
      <c r="B189" t="str">
        <f t="shared" si="6"/>
        <v>GOOGL</v>
      </c>
      <c r="C189" t="s">
        <v>1</v>
      </c>
      <c r="D189" t="str">
        <f t="shared" si="7"/>
        <v>GOOGL | commonStock</v>
      </c>
      <c r="E189">
        <v>32982000000</v>
      </c>
      <c r="F189">
        <v>36307000000</v>
      </c>
      <c r="G189">
        <v>40247000000</v>
      </c>
      <c r="H189">
        <v>45049000000</v>
      </c>
      <c r="I189">
        <v>50552000000</v>
      </c>
      <c r="J189">
        <v>58510000000</v>
      </c>
      <c r="K189">
        <v>61774000000</v>
      </c>
      <c r="L189">
        <v>68184000000</v>
      </c>
      <c r="M189">
        <v>76534000000</v>
      </c>
    </row>
    <row r="190" spans="1:13" x14ac:dyDescent="0.25">
      <c r="A190">
        <f t="shared" si="8"/>
        <v>3</v>
      </c>
      <c r="B190" t="str">
        <f t="shared" si="6"/>
        <v>GOOGL</v>
      </c>
      <c r="C190" t="s">
        <v>0</v>
      </c>
      <c r="D190" t="str">
        <f t="shared" si="7"/>
        <v>GOOGL | commonStockSharesOutstanding</v>
      </c>
      <c r="E190">
        <v>687348000</v>
      </c>
      <c r="F190">
        <v>691293000</v>
      </c>
      <c r="G190">
        <v>694783000</v>
      </c>
      <c r="H190">
        <v>695556000</v>
      </c>
      <c r="I190">
        <v>688335000</v>
      </c>
      <c r="J190">
        <v>675222000</v>
      </c>
      <c r="K190">
        <v>662121000</v>
      </c>
      <c r="L190">
        <v>12849000000</v>
      </c>
      <c r="M190">
        <v>12460000000</v>
      </c>
    </row>
    <row r="191" spans="1:13" x14ac:dyDescent="0.25">
      <c r="A191">
        <f t="shared" si="8"/>
        <v>3</v>
      </c>
      <c r="B191" t="str">
        <f t="shared" si="6"/>
        <v>GOOGL</v>
      </c>
      <c r="C191" t="s">
        <v>81</v>
      </c>
      <c r="D191" t="str">
        <f t="shared" si="7"/>
        <v>GOOGL | KO</v>
      </c>
      <c r="E191" t="s">
        <v>78</v>
      </c>
      <c r="F191" t="s">
        <v>77</v>
      </c>
      <c r="G191" t="s">
        <v>76</v>
      </c>
      <c r="H191" t="s">
        <v>75</v>
      </c>
      <c r="I191" t="s">
        <v>74</v>
      </c>
      <c r="J191" t="s">
        <v>73</v>
      </c>
      <c r="K191" t="s">
        <v>72</v>
      </c>
      <c r="L191" t="s">
        <v>71</v>
      </c>
      <c r="M191" t="s">
        <v>70</v>
      </c>
    </row>
    <row r="192" spans="1:13" x14ac:dyDescent="0.25">
      <c r="A192">
        <f t="shared" si="8"/>
        <v>4</v>
      </c>
      <c r="B192" t="str">
        <f t="shared" si="6"/>
        <v>KO</v>
      </c>
      <c r="C192" t="s">
        <v>46</v>
      </c>
      <c r="D192" t="str">
        <f t="shared" si="7"/>
        <v>KO | grossProfit</v>
      </c>
      <c r="E192">
        <v>26812000000</v>
      </c>
      <c r="F192">
        <v>25398000000</v>
      </c>
      <c r="G192">
        <v>22491000000</v>
      </c>
      <c r="H192">
        <v>21233000000</v>
      </c>
      <c r="I192">
        <v>22647000000</v>
      </c>
      <c r="J192">
        <v>19581000000</v>
      </c>
      <c r="K192">
        <v>23298000000</v>
      </c>
      <c r="L192">
        <v>25004000000</v>
      </c>
      <c r="M192">
        <v>27234000000</v>
      </c>
    </row>
    <row r="193" spans="1:13" x14ac:dyDescent="0.25">
      <c r="A193">
        <f t="shared" si="8"/>
        <v>4</v>
      </c>
      <c r="B193" t="str">
        <f t="shared" si="6"/>
        <v>KO</v>
      </c>
      <c r="C193" t="s">
        <v>47</v>
      </c>
      <c r="D193" t="str">
        <f t="shared" si="7"/>
        <v>KO | totalRevenue</v>
      </c>
      <c r="E193">
        <v>43555000000</v>
      </c>
      <c r="F193">
        <v>41863000000</v>
      </c>
      <c r="G193">
        <v>36212000000</v>
      </c>
      <c r="H193">
        <v>34300000000</v>
      </c>
      <c r="I193">
        <v>37266000000</v>
      </c>
      <c r="J193">
        <v>33014000000</v>
      </c>
      <c r="K193">
        <v>38655000000</v>
      </c>
      <c r="L193">
        <v>43004000000</v>
      </c>
      <c r="M193">
        <v>45754000000</v>
      </c>
    </row>
    <row r="194" spans="1:13" x14ac:dyDescent="0.25">
      <c r="A194">
        <f t="shared" si="8"/>
        <v>4</v>
      </c>
      <c r="B194" t="str">
        <f t="shared" si="6"/>
        <v>KO</v>
      </c>
      <c r="C194" t="s">
        <v>48</v>
      </c>
      <c r="D194" t="str">
        <f t="shared" si="7"/>
        <v>KO | costOfRevenue</v>
      </c>
      <c r="E194">
        <v>37604000000</v>
      </c>
      <c r="F194">
        <v>16465000000</v>
      </c>
      <c r="G194">
        <v>13721000000</v>
      </c>
      <c r="H194">
        <v>13067000000</v>
      </c>
      <c r="I194">
        <v>14619000000</v>
      </c>
      <c r="J194">
        <v>13433000000</v>
      </c>
      <c r="K194">
        <v>15357000000</v>
      </c>
      <c r="L194">
        <v>18000000000</v>
      </c>
      <c r="M194">
        <v>18520000000</v>
      </c>
    </row>
    <row r="195" spans="1:13" x14ac:dyDescent="0.25">
      <c r="A195">
        <f t="shared" si="8"/>
        <v>4</v>
      </c>
      <c r="B195" t="str">
        <f t="shared" si="6"/>
        <v>KO</v>
      </c>
      <c r="C195" t="s">
        <v>49</v>
      </c>
      <c r="D195" t="str">
        <f t="shared" si="7"/>
        <v>KO | costofGoodsAndServicesSold</v>
      </c>
      <c r="E195">
        <v>19982000000</v>
      </c>
      <c r="F195">
        <v>16465000000</v>
      </c>
      <c r="G195">
        <v>13721000000</v>
      </c>
      <c r="H195">
        <v>13067000000</v>
      </c>
      <c r="I195">
        <v>14619000000</v>
      </c>
      <c r="J195">
        <v>13433000000</v>
      </c>
      <c r="K195">
        <v>15357000000</v>
      </c>
      <c r="L195">
        <v>18000000000</v>
      </c>
      <c r="M195">
        <v>18520000000</v>
      </c>
    </row>
    <row r="196" spans="1:13" x14ac:dyDescent="0.25">
      <c r="A196">
        <f t="shared" si="8"/>
        <v>4</v>
      </c>
      <c r="B196" t="str">
        <f t="shared" si="6"/>
        <v>KO</v>
      </c>
      <c r="C196" t="s">
        <v>50</v>
      </c>
      <c r="D196" t="str">
        <f t="shared" si="7"/>
        <v>KO | operatingIncome</v>
      </c>
      <c r="E196">
        <v>8728000000</v>
      </c>
      <c r="F196">
        <v>8657000000</v>
      </c>
      <c r="G196">
        <v>7755000000</v>
      </c>
      <c r="H196">
        <v>9152000000</v>
      </c>
      <c r="I196">
        <v>10086000000</v>
      </c>
      <c r="J196">
        <v>8997000000</v>
      </c>
      <c r="K196">
        <v>10308000000</v>
      </c>
      <c r="L196">
        <v>10909000000</v>
      </c>
      <c r="M196">
        <v>11311000000</v>
      </c>
    </row>
    <row r="197" spans="1:13" x14ac:dyDescent="0.25">
      <c r="A197">
        <f t="shared" si="8"/>
        <v>4</v>
      </c>
      <c r="B197" t="str">
        <f t="shared" si="6"/>
        <v>KO</v>
      </c>
      <c r="C197" t="s">
        <v>51</v>
      </c>
      <c r="D197" t="str">
        <f t="shared" si="7"/>
        <v>KO | sellingGeneralAndAdministrative</v>
      </c>
      <c r="E197">
        <v>16427000000</v>
      </c>
      <c r="F197">
        <v>15370000000</v>
      </c>
      <c r="G197">
        <v>12834000000</v>
      </c>
      <c r="H197">
        <v>11002000000</v>
      </c>
      <c r="I197">
        <v>12103000000</v>
      </c>
      <c r="J197">
        <v>9731000000</v>
      </c>
      <c r="K197">
        <v>12144000000</v>
      </c>
      <c r="L197">
        <v>12880000000</v>
      </c>
      <c r="M197">
        <v>13972000000</v>
      </c>
    </row>
    <row r="198" spans="1:13" x14ac:dyDescent="0.25">
      <c r="A198">
        <f t="shared" si="8"/>
        <v>4</v>
      </c>
      <c r="B198" t="str">
        <f t="shared" ref="B198:B262" si="9">IF(C198="grossProfit",C197,B197)</f>
        <v>KO</v>
      </c>
      <c r="C198" t="s">
        <v>52</v>
      </c>
      <c r="D198" t="str">
        <f t="shared" si="7"/>
        <v>KO | researchAndDevelopment</v>
      </c>
    </row>
    <row r="199" spans="1:13" x14ac:dyDescent="0.25">
      <c r="A199">
        <f t="shared" si="8"/>
        <v>4</v>
      </c>
      <c r="B199" t="str">
        <f t="shared" si="9"/>
        <v>KO</v>
      </c>
      <c r="C199" t="s">
        <v>53</v>
      </c>
      <c r="D199" t="str">
        <f t="shared" ref="D199:D263" si="10">CONCATENATE(B199," | ",C199)</f>
        <v>KO | operatingExpenses</v>
      </c>
      <c r="E199">
        <v>17248000000</v>
      </c>
      <c r="F199">
        <v>17070000000</v>
      </c>
      <c r="G199">
        <v>14970000000</v>
      </c>
      <c r="H199">
        <v>12267000000</v>
      </c>
      <c r="I199">
        <v>13245000000</v>
      </c>
      <c r="J199">
        <v>10163000000</v>
      </c>
      <c r="K199">
        <v>11790000000</v>
      </c>
      <c r="L199">
        <v>14181000000</v>
      </c>
      <c r="M199">
        <v>15579000000</v>
      </c>
    </row>
    <row r="200" spans="1:13" x14ac:dyDescent="0.25">
      <c r="A200">
        <f t="shared" ref="A200:A264" si="11">IF(B200=B199,A199,A199+1)</f>
        <v>4</v>
      </c>
      <c r="B200" t="str">
        <f t="shared" si="9"/>
        <v>KO</v>
      </c>
      <c r="C200" t="s">
        <v>54</v>
      </c>
      <c r="D200" t="str">
        <f t="shared" si="10"/>
        <v>KO | investmentIncomeNet</v>
      </c>
      <c r="E200">
        <v>613000000</v>
      </c>
      <c r="F200">
        <v>642000000</v>
      </c>
      <c r="G200">
        <v>677000000</v>
      </c>
      <c r="H200">
        <v>682000000</v>
      </c>
      <c r="I200">
        <v>563000000</v>
      </c>
      <c r="J200">
        <v>370000000</v>
      </c>
      <c r="K200">
        <v>276000000</v>
      </c>
      <c r="L200">
        <v>449000000</v>
      </c>
      <c r="M200">
        <v>907000000</v>
      </c>
    </row>
    <row r="201" spans="1:13" x14ac:dyDescent="0.25">
      <c r="A201">
        <f t="shared" si="11"/>
        <v>4</v>
      </c>
      <c r="B201" t="str">
        <f t="shared" si="9"/>
        <v>KO</v>
      </c>
      <c r="C201" t="s">
        <v>55</v>
      </c>
      <c r="D201" t="str">
        <f t="shared" si="10"/>
        <v>KO | netInterestIncome</v>
      </c>
      <c r="E201">
        <v>-856000000</v>
      </c>
      <c r="F201">
        <v>-733000000</v>
      </c>
      <c r="G201">
        <v>-841000000</v>
      </c>
      <c r="H201">
        <v>-919000000</v>
      </c>
      <c r="I201">
        <v>-946000000</v>
      </c>
      <c r="J201">
        <v>-1437000000</v>
      </c>
      <c r="K201">
        <v>-1597000000</v>
      </c>
      <c r="L201">
        <v>-882000000</v>
      </c>
      <c r="M201">
        <v>-1527000000</v>
      </c>
    </row>
    <row r="202" spans="1:13" x14ac:dyDescent="0.25">
      <c r="A202">
        <f t="shared" si="11"/>
        <v>4</v>
      </c>
      <c r="B202" t="str">
        <f t="shared" si="9"/>
        <v>KO</v>
      </c>
      <c r="C202" t="s">
        <v>56</v>
      </c>
      <c r="D202" t="str">
        <f t="shared" si="10"/>
        <v>KO | interestIncome</v>
      </c>
      <c r="E202">
        <v>2031000000</v>
      </c>
      <c r="F202">
        <v>642000000</v>
      </c>
      <c r="G202">
        <v>12000000</v>
      </c>
      <c r="H202">
        <v>31000000</v>
      </c>
      <c r="I202">
        <v>563000000</v>
      </c>
      <c r="J202">
        <v>89000000</v>
      </c>
      <c r="K202">
        <v>276000000</v>
      </c>
      <c r="L202">
        <v>1039000000</v>
      </c>
      <c r="M202">
        <v>907000000</v>
      </c>
    </row>
    <row r="203" spans="1:13" x14ac:dyDescent="0.25">
      <c r="A203">
        <f t="shared" si="11"/>
        <v>4</v>
      </c>
      <c r="B203" t="str">
        <f t="shared" si="9"/>
        <v>KO</v>
      </c>
      <c r="C203" t="s">
        <v>57</v>
      </c>
      <c r="D203" t="str">
        <f t="shared" si="10"/>
        <v>KO | interestExpense</v>
      </c>
      <c r="E203">
        <v>856000000</v>
      </c>
      <c r="F203">
        <v>733000000</v>
      </c>
      <c r="G203">
        <v>853000000</v>
      </c>
      <c r="H203">
        <v>950000000</v>
      </c>
      <c r="I203">
        <v>946000000</v>
      </c>
      <c r="J203">
        <v>1437000000</v>
      </c>
      <c r="K203">
        <v>1597000000</v>
      </c>
      <c r="L203">
        <v>882000000</v>
      </c>
      <c r="M203">
        <v>1527000000</v>
      </c>
    </row>
    <row r="204" spans="1:13" x14ac:dyDescent="0.25">
      <c r="A204">
        <f t="shared" si="11"/>
        <v>4</v>
      </c>
      <c r="B204" t="str">
        <f t="shared" si="9"/>
        <v>KO</v>
      </c>
      <c r="C204" t="s">
        <v>58</v>
      </c>
      <c r="D204" t="str">
        <f t="shared" si="10"/>
        <v>KO | nonInterestIncome</v>
      </c>
      <c r="E204">
        <v>117000000</v>
      </c>
      <c r="F204">
        <v>-478000000</v>
      </c>
      <c r="G204">
        <v>151000000</v>
      </c>
      <c r="H204">
        <v>73000000</v>
      </c>
      <c r="I204">
        <v>-64000000</v>
      </c>
      <c r="J204">
        <v>-393000000</v>
      </c>
      <c r="K204">
        <v>-574000000</v>
      </c>
      <c r="L204">
        <v>-207000000</v>
      </c>
      <c r="M204">
        <v>-123000000</v>
      </c>
    </row>
    <row r="205" spans="1:13" x14ac:dyDescent="0.25">
      <c r="A205">
        <f t="shared" si="11"/>
        <v>4</v>
      </c>
      <c r="B205" t="str">
        <f t="shared" si="9"/>
        <v>KO</v>
      </c>
      <c r="C205" t="s">
        <v>59</v>
      </c>
      <c r="D205" t="str">
        <f t="shared" si="10"/>
        <v>KO | otherNonOperatingIncome</v>
      </c>
      <c r="E205">
        <v>631000000</v>
      </c>
      <c r="F205">
        <v>-1265000000</v>
      </c>
      <c r="G205">
        <v>-1763000000</v>
      </c>
      <c r="H205">
        <v>-1674000000</v>
      </c>
      <c r="I205">
        <v>34000000</v>
      </c>
      <c r="J205">
        <v>841000000</v>
      </c>
      <c r="K205">
        <v>2000000000</v>
      </c>
      <c r="L205">
        <v>-262000000</v>
      </c>
      <c r="M205">
        <v>570000000</v>
      </c>
    </row>
    <row r="206" spans="1:13" x14ac:dyDescent="0.25">
      <c r="A206">
        <f t="shared" si="11"/>
        <v>4</v>
      </c>
      <c r="B206" t="str">
        <f t="shared" si="9"/>
        <v>KO</v>
      </c>
      <c r="C206" t="s">
        <v>60</v>
      </c>
      <c r="D206" t="str">
        <f t="shared" si="10"/>
        <v>KO | depreciation</v>
      </c>
      <c r="E206">
        <v>1735000000</v>
      </c>
      <c r="F206">
        <v>1575000000</v>
      </c>
      <c r="G206">
        <v>1131000000</v>
      </c>
      <c r="H206">
        <v>999000000</v>
      </c>
      <c r="I206">
        <v>1208000000</v>
      </c>
      <c r="J206">
        <v>1301000000</v>
      </c>
      <c r="K206">
        <v>1262000000</v>
      </c>
      <c r="L206">
        <v>1125000000</v>
      </c>
      <c r="M206">
        <v>1018000000</v>
      </c>
    </row>
    <row r="207" spans="1:13" x14ac:dyDescent="0.25">
      <c r="A207">
        <f t="shared" si="11"/>
        <v>4</v>
      </c>
      <c r="B207" t="str">
        <f t="shared" si="9"/>
        <v>KO</v>
      </c>
      <c r="C207" t="s">
        <v>61</v>
      </c>
      <c r="D207" t="str">
        <f t="shared" si="10"/>
        <v>KO | depreciationAndAmortization</v>
      </c>
      <c r="E207">
        <v>156000000</v>
      </c>
      <c r="F207">
        <v>139000000</v>
      </c>
      <c r="G207">
        <v>68000000</v>
      </c>
      <c r="H207">
        <v>49000000</v>
      </c>
      <c r="I207">
        <v>120000000</v>
      </c>
      <c r="J207">
        <v>203000000</v>
      </c>
      <c r="K207">
        <v>165000000</v>
      </c>
      <c r="L207">
        <v>120000000</v>
      </c>
      <c r="M207">
        <v>94000000</v>
      </c>
    </row>
    <row r="208" spans="1:13" x14ac:dyDescent="0.25">
      <c r="A208">
        <f t="shared" si="11"/>
        <v>4</v>
      </c>
      <c r="B208" t="str">
        <f t="shared" si="9"/>
        <v>KO</v>
      </c>
      <c r="C208" t="s">
        <v>62</v>
      </c>
      <c r="D208" t="str">
        <f t="shared" si="10"/>
        <v>KO | incomeBeforeTax</v>
      </c>
      <c r="E208">
        <v>9590000000</v>
      </c>
      <c r="F208">
        <v>8113000000</v>
      </c>
      <c r="G208">
        <v>6855000000</v>
      </c>
      <c r="H208">
        <v>8183000000</v>
      </c>
      <c r="I208">
        <v>10721000000</v>
      </c>
      <c r="J208">
        <v>9728000000</v>
      </c>
      <c r="K208">
        <v>12392000000</v>
      </c>
      <c r="L208">
        <v>11657000000</v>
      </c>
      <c r="M208">
        <v>12963000000</v>
      </c>
    </row>
    <row r="209" spans="1:14" x14ac:dyDescent="0.25">
      <c r="A209">
        <f t="shared" si="11"/>
        <v>4</v>
      </c>
      <c r="B209" t="str">
        <f t="shared" si="9"/>
        <v>KO</v>
      </c>
      <c r="C209" t="s">
        <v>63</v>
      </c>
      <c r="D209" t="str">
        <f t="shared" si="10"/>
        <v>KO | incomeTaxExpense</v>
      </c>
      <c r="E209">
        <v>2239000000</v>
      </c>
      <c r="F209">
        <v>1586000000</v>
      </c>
      <c r="G209">
        <v>5607000000</v>
      </c>
      <c r="H209">
        <v>1749000000</v>
      </c>
      <c r="I209">
        <v>1801000000</v>
      </c>
      <c r="J209">
        <v>1981000000</v>
      </c>
      <c r="K209">
        <v>2621000000</v>
      </c>
      <c r="L209">
        <v>2115000000</v>
      </c>
      <c r="M209">
        <v>2249000000</v>
      </c>
    </row>
    <row r="210" spans="1:14" x14ac:dyDescent="0.25">
      <c r="A210">
        <f t="shared" si="11"/>
        <v>4</v>
      </c>
      <c r="B210" t="str">
        <f t="shared" si="9"/>
        <v>KO</v>
      </c>
      <c r="C210" t="s">
        <v>64</v>
      </c>
      <c r="D210" t="str">
        <f t="shared" si="10"/>
        <v>KO | interestAndDebtExpense</v>
      </c>
      <c r="E210">
        <v>1176000000</v>
      </c>
      <c r="F210">
        <v>1053000000</v>
      </c>
      <c r="G210">
        <v>879000000</v>
      </c>
      <c r="H210">
        <v>892000000</v>
      </c>
      <c r="I210">
        <v>946000000</v>
      </c>
      <c r="J210">
        <v>1896000000</v>
      </c>
      <c r="K210">
        <v>2156000000</v>
      </c>
      <c r="L210">
        <v>882000000</v>
      </c>
      <c r="M210">
        <v>1527000000</v>
      </c>
    </row>
    <row r="211" spans="1:14" x14ac:dyDescent="0.25">
      <c r="A211">
        <f t="shared" si="11"/>
        <v>4</v>
      </c>
      <c r="B211" t="str">
        <f t="shared" si="9"/>
        <v>KO</v>
      </c>
      <c r="C211" t="s">
        <v>65</v>
      </c>
      <c r="D211" t="str">
        <f t="shared" si="10"/>
        <v>KO | netIncomeFromContinuingOperations</v>
      </c>
      <c r="E211">
        <v>7351000000</v>
      </c>
      <c r="F211">
        <v>6527000000</v>
      </c>
      <c r="G211">
        <v>1181000000</v>
      </c>
      <c r="H211">
        <v>6734000000</v>
      </c>
      <c r="I211">
        <v>8985000000</v>
      </c>
      <c r="J211">
        <v>7768000000</v>
      </c>
      <c r="K211">
        <v>9804000000</v>
      </c>
      <c r="L211">
        <v>9571000000</v>
      </c>
      <c r="M211">
        <v>10703000000</v>
      </c>
    </row>
    <row r="212" spans="1:14" x14ac:dyDescent="0.25">
      <c r="A212">
        <f t="shared" si="11"/>
        <v>4</v>
      </c>
      <c r="B212" t="str">
        <f t="shared" si="9"/>
        <v>KO</v>
      </c>
      <c r="C212" t="s">
        <v>66</v>
      </c>
      <c r="D212" t="str">
        <f t="shared" si="10"/>
        <v>KO | comprehensiveIncomeNetOfTax</v>
      </c>
      <c r="E212">
        <v>2954000000</v>
      </c>
      <c r="F212">
        <v>5496000000</v>
      </c>
      <c r="G212">
        <v>2148000000</v>
      </c>
      <c r="H212">
        <v>4334000000</v>
      </c>
      <c r="I212">
        <v>8754000000</v>
      </c>
      <c r="J212">
        <v>6690000000</v>
      </c>
      <c r="K212">
        <v>10042000000</v>
      </c>
      <c r="L212">
        <v>8977000000</v>
      </c>
      <c r="M212">
        <v>11334000000</v>
      </c>
    </row>
    <row r="213" spans="1:14" x14ac:dyDescent="0.25">
      <c r="A213">
        <f t="shared" si="11"/>
        <v>4</v>
      </c>
      <c r="B213" t="str">
        <f t="shared" si="9"/>
        <v>KO</v>
      </c>
      <c r="C213" t="s">
        <v>67</v>
      </c>
      <c r="D213" t="str">
        <f t="shared" si="10"/>
        <v>KO | ebit</v>
      </c>
      <c r="E213">
        <v>10446000000</v>
      </c>
      <c r="F213">
        <v>8846000000</v>
      </c>
      <c r="G213">
        <v>7708000000</v>
      </c>
      <c r="H213">
        <v>9133000000</v>
      </c>
      <c r="I213">
        <v>11667000000</v>
      </c>
      <c r="J213">
        <v>11165000000</v>
      </c>
      <c r="K213">
        <v>13989000000</v>
      </c>
      <c r="L213">
        <v>12539000000</v>
      </c>
      <c r="M213">
        <v>14490000000</v>
      </c>
    </row>
    <row r="214" spans="1:14" x14ac:dyDescent="0.25">
      <c r="A214">
        <f t="shared" si="11"/>
        <v>4</v>
      </c>
      <c r="B214" t="str">
        <f t="shared" si="9"/>
        <v>KO</v>
      </c>
      <c r="C214" t="s">
        <v>68</v>
      </c>
      <c r="D214" t="str">
        <f t="shared" si="10"/>
        <v>KO | ebitda</v>
      </c>
      <c r="E214">
        <v>10602000000</v>
      </c>
      <c r="F214">
        <v>8985000000</v>
      </c>
      <c r="G214">
        <v>7776000000</v>
      </c>
      <c r="H214">
        <v>9182000000</v>
      </c>
      <c r="I214">
        <v>11787000000</v>
      </c>
      <c r="J214">
        <v>11368000000</v>
      </c>
      <c r="K214">
        <v>14154000000</v>
      </c>
      <c r="L214">
        <v>12659000000</v>
      </c>
      <c r="M214">
        <v>14584000000</v>
      </c>
    </row>
    <row r="215" spans="1:14" x14ac:dyDescent="0.25">
      <c r="A215">
        <f t="shared" si="11"/>
        <v>4</v>
      </c>
      <c r="B215" t="str">
        <f t="shared" si="9"/>
        <v>KO</v>
      </c>
      <c r="C215" t="s">
        <v>69</v>
      </c>
      <c r="D215" t="str">
        <f t="shared" si="10"/>
        <v>KO | netIncome</v>
      </c>
      <c r="E215">
        <v>7351000000</v>
      </c>
      <c r="F215">
        <v>6527000000</v>
      </c>
      <c r="G215">
        <v>1248000000</v>
      </c>
      <c r="H215">
        <v>6434000000</v>
      </c>
      <c r="I215">
        <v>8920000000</v>
      </c>
      <c r="J215">
        <v>7747000000</v>
      </c>
      <c r="K215">
        <v>9771000000</v>
      </c>
      <c r="L215">
        <v>9542000000</v>
      </c>
      <c r="M215">
        <v>10714000000</v>
      </c>
    </row>
    <row r="216" spans="1:14" x14ac:dyDescent="0.25">
      <c r="A216">
        <f>IF(B216=B215,A215,A215+1)</f>
        <v>4</v>
      </c>
      <c r="B216" t="str">
        <f>IF(C216="grossProfit",C215,B215)</f>
        <v>KO</v>
      </c>
      <c r="C216" t="s">
        <v>144</v>
      </c>
      <c r="D216" t="str">
        <f t="shared" si="10"/>
        <v>KO | reportedEPS</v>
      </c>
      <c r="E216">
        <v>2</v>
      </c>
      <c r="F216">
        <v>1.91</v>
      </c>
      <c r="G216">
        <v>1.91</v>
      </c>
      <c r="H216">
        <v>2.09</v>
      </c>
      <c r="I216">
        <v>2.11</v>
      </c>
      <c r="J216">
        <v>1.95</v>
      </c>
      <c r="K216">
        <v>2.33</v>
      </c>
      <c r="L216">
        <v>2.48</v>
      </c>
      <c r="M216">
        <v>2.69</v>
      </c>
      <c r="N216">
        <v>2.33</v>
      </c>
    </row>
    <row r="217" spans="1:14" x14ac:dyDescent="0.25">
      <c r="A217">
        <f>IF(B217=B215,A215,A215+1)</f>
        <v>4</v>
      </c>
      <c r="B217" t="str">
        <f>IF(C217="grossProfit",C215,B215)</f>
        <v>KO</v>
      </c>
      <c r="C217" t="s">
        <v>81</v>
      </c>
      <c r="D217" t="str">
        <f t="shared" si="10"/>
        <v>KO | KO</v>
      </c>
      <c r="E217" t="s">
        <v>78</v>
      </c>
      <c r="F217" t="s">
        <v>77</v>
      </c>
      <c r="G217" t="s">
        <v>76</v>
      </c>
      <c r="H217" t="s">
        <v>75</v>
      </c>
      <c r="I217" t="s">
        <v>74</v>
      </c>
      <c r="J217" t="s">
        <v>73</v>
      </c>
      <c r="K217" t="s">
        <v>72</v>
      </c>
      <c r="L217" t="s">
        <v>71</v>
      </c>
      <c r="M217" t="s">
        <v>70</v>
      </c>
    </row>
    <row r="218" spans="1:14" x14ac:dyDescent="0.25">
      <c r="A218">
        <f t="shared" si="11"/>
        <v>4</v>
      </c>
      <c r="B218" t="str">
        <f t="shared" si="9"/>
        <v>KO</v>
      </c>
      <c r="C218" t="s">
        <v>35</v>
      </c>
      <c r="D218" t="str">
        <f t="shared" si="10"/>
        <v>KO | totalAssets</v>
      </c>
      <c r="E218">
        <v>89996000000</v>
      </c>
      <c r="F218">
        <v>87270000000</v>
      </c>
      <c r="G218">
        <v>87896000000</v>
      </c>
      <c r="H218">
        <v>83216000000</v>
      </c>
      <c r="I218">
        <v>86381000000</v>
      </c>
      <c r="J218">
        <v>87296000000</v>
      </c>
      <c r="K218">
        <v>94354000000</v>
      </c>
      <c r="L218">
        <v>92763000000</v>
      </c>
      <c r="M218">
        <v>97703000000</v>
      </c>
    </row>
    <row r="219" spans="1:14" x14ac:dyDescent="0.25">
      <c r="A219">
        <f t="shared" si="11"/>
        <v>4</v>
      </c>
      <c r="B219" t="str">
        <f t="shared" si="9"/>
        <v>KO</v>
      </c>
      <c r="C219" t="s">
        <v>34</v>
      </c>
      <c r="D219" t="str">
        <f t="shared" si="10"/>
        <v>KO | totalCurrentAssets</v>
      </c>
      <c r="E219">
        <v>33395000000</v>
      </c>
      <c r="F219">
        <v>34010000000</v>
      </c>
      <c r="G219">
        <v>36545000000</v>
      </c>
      <c r="H219">
        <v>24930000000</v>
      </c>
      <c r="I219">
        <v>20411000000</v>
      </c>
      <c r="J219">
        <v>19240000000</v>
      </c>
      <c r="K219">
        <v>22545000000</v>
      </c>
      <c r="L219">
        <v>22591000000</v>
      </c>
      <c r="M219">
        <v>26732000000</v>
      </c>
    </row>
    <row r="220" spans="1:14" x14ac:dyDescent="0.25">
      <c r="A220">
        <f t="shared" si="11"/>
        <v>4</v>
      </c>
      <c r="B220" t="str">
        <f t="shared" si="9"/>
        <v>KO</v>
      </c>
      <c r="C220" t="s">
        <v>33</v>
      </c>
      <c r="D220" t="str">
        <f t="shared" si="10"/>
        <v>KO | cashAndCashEquivalentsAtCarryingValue</v>
      </c>
      <c r="E220">
        <v>7309000000</v>
      </c>
      <c r="F220">
        <v>8555000000</v>
      </c>
      <c r="G220">
        <v>6102000000</v>
      </c>
      <c r="H220">
        <v>9077000000</v>
      </c>
      <c r="I220">
        <v>6480000000</v>
      </c>
      <c r="J220">
        <v>6795000000</v>
      </c>
      <c r="K220">
        <v>9684000000</v>
      </c>
      <c r="L220">
        <v>9519000000</v>
      </c>
      <c r="M220">
        <v>9366000000</v>
      </c>
    </row>
    <row r="221" spans="1:14" x14ac:dyDescent="0.25">
      <c r="A221">
        <f t="shared" si="11"/>
        <v>4</v>
      </c>
      <c r="B221" t="str">
        <f t="shared" si="9"/>
        <v>KO</v>
      </c>
      <c r="C221" t="s">
        <v>32</v>
      </c>
      <c r="D221" t="str">
        <f t="shared" si="10"/>
        <v>KO | cashAndShortTermInvestments</v>
      </c>
      <c r="E221">
        <v>15631000000</v>
      </c>
      <c r="F221">
        <v>18150000000</v>
      </c>
      <c r="G221">
        <v>15358000000</v>
      </c>
      <c r="H221">
        <v>11102000000</v>
      </c>
      <c r="I221">
        <v>7947000000</v>
      </c>
      <c r="J221">
        <v>8566000000</v>
      </c>
      <c r="K221">
        <v>10926000000</v>
      </c>
      <c r="L221">
        <v>10562000000</v>
      </c>
      <c r="M221">
        <v>12363000000</v>
      </c>
    </row>
    <row r="222" spans="1:14" x14ac:dyDescent="0.25">
      <c r="A222">
        <f t="shared" si="11"/>
        <v>4</v>
      </c>
      <c r="B222" t="str">
        <f t="shared" si="9"/>
        <v>KO</v>
      </c>
      <c r="C222" t="s">
        <v>31</v>
      </c>
      <c r="D222" t="str">
        <f t="shared" si="10"/>
        <v>KO | inventory</v>
      </c>
      <c r="E222">
        <v>2902000000</v>
      </c>
      <c r="F222">
        <v>2675000000</v>
      </c>
      <c r="G222">
        <v>2655000000</v>
      </c>
      <c r="H222">
        <v>3071000000</v>
      </c>
      <c r="I222">
        <v>3379000000</v>
      </c>
      <c r="J222">
        <v>3266000000</v>
      </c>
      <c r="K222">
        <v>3414000000</v>
      </c>
      <c r="L222">
        <v>4233000000</v>
      </c>
      <c r="M222">
        <v>4424000000</v>
      </c>
    </row>
    <row r="223" spans="1:14" x14ac:dyDescent="0.25">
      <c r="A223">
        <f t="shared" si="11"/>
        <v>4</v>
      </c>
      <c r="B223" t="str">
        <f t="shared" si="9"/>
        <v>KO</v>
      </c>
      <c r="C223" t="s">
        <v>30</v>
      </c>
      <c r="D223" t="str">
        <f t="shared" si="10"/>
        <v>KO | currentNetReceivables</v>
      </c>
      <c r="E223">
        <v>3941000000</v>
      </c>
      <c r="F223">
        <v>3856000000</v>
      </c>
      <c r="G223">
        <v>3667000000</v>
      </c>
      <c r="H223">
        <v>3396000000</v>
      </c>
      <c r="I223">
        <v>3971000000</v>
      </c>
      <c r="J223">
        <v>3144000000</v>
      </c>
      <c r="K223">
        <v>3512000000</v>
      </c>
      <c r="L223">
        <v>3487000000</v>
      </c>
      <c r="M223">
        <v>3410000000</v>
      </c>
    </row>
    <row r="224" spans="1:14" x14ac:dyDescent="0.25">
      <c r="A224">
        <f t="shared" si="11"/>
        <v>4</v>
      </c>
      <c r="B224" t="str">
        <f t="shared" si="9"/>
        <v>KO</v>
      </c>
      <c r="C224" t="s">
        <v>29</v>
      </c>
      <c r="D224" t="str">
        <f t="shared" si="10"/>
        <v>KO | totalNonCurrentAssets</v>
      </c>
      <c r="E224">
        <v>53254000000</v>
      </c>
      <c r="F224">
        <v>52283000000</v>
      </c>
      <c r="G224">
        <v>50292000000</v>
      </c>
      <c r="H224">
        <v>51609000000</v>
      </c>
      <c r="I224">
        <v>62594000000</v>
      </c>
      <c r="J224">
        <v>68567000000</v>
      </c>
      <c r="K224">
        <v>73209000000</v>
      </c>
      <c r="L224">
        <v>71749000000</v>
      </c>
      <c r="M224">
        <v>72776000000</v>
      </c>
    </row>
    <row r="225" spans="1:13" x14ac:dyDescent="0.25">
      <c r="A225">
        <f t="shared" si="11"/>
        <v>4</v>
      </c>
      <c r="B225" t="str">
        <f t="shared" si="9"/>
        <v>KO</v>
      </c>
      <c r="C225" t="s">
        <v>28</v>
      </c>
      <c r="D225" t="str">
        <f t="shared" si="10"/>
        <v>KO | propertyPlantEquipment</v>
      </c>
      <c r="E225">
        <v>12571000000</v>
      </c>
      <c r="F225">
        <v>10635000000</v>
      </c>
      <c r="G225">
        <v>9638000000</v>
      </c>
      <c r="H225">
        <v>9598000000</v>
      </c>
      <c r="I225">
        <v>10838000000</v>
      </c>
      <c r="J225">
        <v>10777000000</v>
      </c>
      <c r="K225">
        <v>9920000000</v>
      </c>
      <c r="L225">
        <v>9841000000</v>
      </c>
      <c r="M225">
        <v>9236000000</v>
      </c>
    </row>
    <row r="226" spans="1:13" x14ac:dyDescent="0.25">
      <c r="A226">
        <f t="shared" si="11"/>
        <v>4</v>
      </c>
      <c r="B226" t="str">
        <f t="shared" si="9"/>
        <v>KO</v>
      </c>
      <c r="C226" t="s">
        <v>27</v>
      </c>
      <c r="D226" t="str">
        <f t="shared" si="10"/>
        <v>KO | accumulatedDepreciationAmortizationPPE</v>
      </c>
      <c r="E226">
        <v>9783000000</v>
      </c>
      <c r="F226">
        <v>10621000000</v>
      </c>
      <c r="G226">
        <v>8246000000</v>
      </c>
      <c r="H226">
        <v>8013000000</v>
      </c>
      <c r="I226">
        <v>8083000000</v>
      </c>
    </row>
    <row r="227" spans="1:13" x14ac:dyDescent="0.25">
      <c r="A227">
        <f t="shared" si="11"/>
        <v>4</v>
      </c>
      <c r="B227" t="str">
        <f t="shared" si="9"/>
        <v>KO</v>
      </c>
      <c r="C227" t="s">
        <v>26</v>
      </c>
      <c r="D227" t="str">
        <f t="shared" si="10"/>
        <v>KO | intangibleAssets</v>
      </c>
      <c r="E227">
        <v>23968000000</v>
      </c>
      <c r="F227">
        <v>21000000000</v>
      </c>
      <c r="G227">
        <v>16530000000</v>
      </c>
      <c r="H227">
        <v>17164000000</v>
      </c>
      <c r="I227">
        <v>26656000000</v>
      </c>
      <c r="J227">
        <v>28325000000</v>
      </c>
      <c r="K227">
        <v>35398000000</v>
      </c>
      <c r="L227">
        <v>34266000000</v>
      </c>
      <c r="M227">
        <v>33739000000</v>
      </c>
    </row>
    <row r="228" spans="1:13" x14ac:dyDescent="0.25">
      <c r="A228">
        <f t="shared" si="11"/>
        <v>4</v>
      </c>
      <c r="B228" t="str">
        <f t="shared" si="9"/>
        <v>KO</v>
      </c>
      <c r="C228" t="s">
        <v>25</v>
      </c>
      <c r="D228" t="str">
        <f t="shared" si="10"/>
        <v>KO | intangibleAssetsExcludingGoodwill</v>
      </c>
      <c r="E228">
        <v>12679000000</v>
      </c>
      <c r="F228">
        <v>10371000000</v>
      </c>
      <c r="G228">
        <v>7129000000</v>
      </c>
      <c r="H228">
        <v>6901000000</v>
      </c>
      <c r="I228">
        <v>9892000000</v>
      </c>
      <c r="J228">
        <v>10819000000</v>
      </c>
      <c r="K228">
        <v>16035000000</v>
      </c>
      <c r="L228">
        <v>15484000000</v>
      </c>
      <c r="M228">
        <v>15381000000</v>
      </c>
    </row>
    <row r="229" spans="1:13" x14ac:dyDescent="0.25">
      <c r="A229">
        <f t="shared" si="11"/>
        <v>4</v>
      </c>
      <c r="B229" t="str">
        <f t="shared" si="9"/>
        <v>KO</v>
      </c>
      <c r="C229" t="s">
        <v>24</v>
      </c>
      <c r="D229" t="str">
        <f t="shared" si="10"/>
        <v>KO | goodwill</v>
      </c>
      <c r="E229">
        <v>11289000000</v>
      </c>
      <c r="F229">
        <v>10629000000</v>
      </c>
      <c r="G229">
        <v>13649000000</v>
      </c>
      <c r="H229">
        <v>14109000000</v>
      </c>
      <c r="I229">
        <v>16764000000</v>
      </c>
      <c r="J229">
        <v>17506000000</v>
      </c>
      <c r="K229">
        <v>19363000000</v>
      </c>
      <c r="L229">
        <v>18782000000</v>
      </c>
      <c r="M229">
        <v>18358000000</v>
      </c>
    </row>
    <row r="230" spans="1:13" x14ac:dyDescent="0.25">
      <c r="A230">
        <f t="shared" si="11"/>
        <v>4</v>
      </c>
      <c r="B230" t="str">
        <f t="shared" si="9"/>
        <v>KO</v>
      </c>
      <c r="C230" t="s">
        <v>23</v>
      </c>
      <c r="D230" t="str">
        <f t="shared" si="10"/>
        <v>KO | investments</v>
      </c>
      <c r="E230">
        <v>30127000000</v>
      </c>
      <c r="F230">
        <v>33109000000</v>
      </c>
      <c r="G230">
        <v>38646000000</v>
      </c>
      <c r="H230">
        <v>33442000000</v>
      </c>
      <c r="I230">
        <v>29256000000</v>
      </c>
      <c r="J230">
        <v>28260000000</v>
      </c>
      <c r="K230">
        <v>24585000000</v>
      </c>
      <c r="L230">
        <v>22862000000</v>
      </c>
      <c r="M230">
        <v>24282000000</v>
      </c>
    </row>
    <row r="231" spans="1:13" x14ac:dyDescent="0.25">
      <c r="A231">
        <f t="shared" si="11"/>
        <v>4</v>
      </c>
      <c r="B231" t="str">
        <f t="shared" si="9"/>
        <v>KO</v>
      </c>
      <c r="C231" t="s">
        <v>22</v>
      </c>
      <c r="D231" t="str">
        <f t="shared" si="10"/>
        <v>KO | longTermInvestments</v>
      </c>
      <c r="E231">
        <v>12508000000</v>
      </c>
      <c r="F231">
        <v>16400000000</v>
      </c>
      <c r="G231">
        <v>20999000000</v>
      </c>
      <c r="H231">
        <v>19407000000</v>
      </c>
      <c r="I231">
        <v>19025000000</v>
      </c>
      <c r="J231">
        <v>19273000000</v>
      </c>
      <c r="K231">
        <v>17598000000</v>
      </c>
      <c r="L231">
        <v>18264000000</v>
      </c>
      <c r="M231">
        <v>19671000000</v>
      </c>
    </row>
    <row r="232" spans="1:13" x14ac:dyDescent="0.25">
      <c r="A232">
        <f t="shared" si="11"/>
        <v>4</v>
      </c>
      <c r="B232" t="str">
        <f t="shared" si="9"/>
        <v>KO</v>
      </c>
      <c r="C232" t="s">
        <v>21</v>
      </c>
      <c r="D232" t="str">
        <f t="shared" si="10"/>
        <v>KO | shortTermInvestments</v>
      </c>
      <c r="E232">
        <v>8322000000</v>
      </c>
      <c r="F232">
        <v>9595000000</v>
      </c>
      <c r="G232">
        <v>9256000000</v>
      </c>
      <c r="H232">
        <v>2025000000</v>
      </c>
      <c r="I232">
        <v>1467000000</v>
      </c>
      <c r="J232">
        <v>1771000000</v>
      </c>
      <c r="K232">
        <v>1242000000</v>
      </c>
      <c r="L232">
        <v>1043000000</v>
      </c>
      <c r="M232">
        <v>2997000000</v>
      </c>
    </row>
    <row r="233" spans="1:13" x14ac:dyDescent="0.25">
      <c r="A233">
        <f t="shared" si="11"/>
        <v>4</v>
      </c>
      <c r="B233" t="str">
        <f t="shared" si="9"/>
        <v>KO</v>
      </c>
      <c r="C233" t="s">
        <v>20</v>
      </c>
      <c r="D233" t="str">
        <f t="shared" si="10"/>
        <v>KO | otherCurrentAssets</v>
      </c>
      <c r="E233">
        <v>2752000000</v>
      </c>
      <c r="F233">
        <v>2481000000</v>
      </c>
      <c r="G233">
        <v>2000000000</v>
      </c>
      <c r="H233">
        <v>2059000000</v>
      </c>
      <c r="I233">
        <v>1886000000</v>
      </c>
      <c r="J233">
        <v>3832000000</v>
      </c>
      <c r="K233">
        <v>5988000000</v>
      </c>
      <c r="L233">
        <v>6480000000</v>
      </c>
      <c r="M233">
        <v>5235000000</v>
      </c>
    </row>
    <row r="234" spans="1:13" x14ac:dyDescent="0.25">
      <c r="A234">
        <f t="shared" si="11"/>
        <v>4</v>
      </c>
      <c r="B234" t="str">
        <f t="shared" si="9"/>
        <v>KO</v>
      </c>
      <c r="C234" t="s">
        <v>19</v>
      </c>
      <c r="D234" t="str">
        <f t="shared" si="10"/>
        <v>KO | otherNonCurrentAssets</v>
      </c>
      <c r="E234">
        <v>4110000000</v>
      </c>
      <c r="F234">
        <v>4248000000</v>
      </c>
      <c r="G234">
        <v>4230000000</v>
      </c>
      <c r="H234">
        <v>4148000000</v>
      </c>
      <c r="I234">
        <v>6075000000</v>
      </c>
      <c r="J234">
        <v>6184000000</v>
      </c>
      <c r="K234">
        <v>6731000000</v>
      </c>
      <c r="L234">
        <v>6189000000</v>
      </c>
      <c r="M234">
        <v>7162000000</v>
      </c>
    </row>
    <row r="235" spans="1:13" x14ac:dyDescent="0.25">
      <c r="A235">
        <f t="shared" si="11"/>
        <v>4</v>
      </c>
      <c r="B235" t="str">
        <f t="shared" si="9"/>
        <v>KO</v>
      </c>
      <c r="C235" t="s">
        <v>18</v>
      </c>
      <c r="D235" t="str">
        <f t="shared" si="10"/>
        <v>KO | totalLiabilities</v>
      </c>
      <c r="E235">
        <v>64442000000</v>
      </c>
      <c r="F235">
        <v>64208000000</v>
      </c>
      <c r="G235">
        <v>70824000000</v>
      </c>
      <c r="H235">
        <v>66235000000</v>
      </c>
      <c r="I235">
        <v>67400000000</v>
      </c>
      <c r="J235">
        <v>67997000000</v>
      </c>
      <c r="K235">
        <v>71355000000</v>
      </c>
      <c r="L235">
        <v>68658000000</v>
      </c>
      <c r="M235">
        <v>71762000000</v>
      </c>
    </row>
    <row r="236" spans="1:13" x14ac:dyDescent="0.25">
      <c r="A236">
        <f t="shared" si="11"/>
        <v>4</v>
      </c>
      <c r="B236" t="str">
        <f t="shared" si="9"/>
        <v>KO</v>
      </c>
      <c r="C236" t="s">
        <v>17</v>
      </c>
      <c r="D236" t="str">
        <f t="shared" si="10"/>
        <v>KO | totalCurrentLiabilities</v>
      </c>
      <c r="E236">
        <v>26929000000</v>
      </c>
      <c r="F236">
        <v>26532000000</v>
      </c>
      <c r="G236">
        <v>27194000000</v>
      </c>
      <c r="H236">
        <v>28782000000</v>
      </c>
      <c r="I236">
        <v>26973000000</v>
      </c>
      <c r="J236">
        <v>14601000000</v>
      </c>
      <c r="K236">
        <v>19950000000</v>
      </c>
      <c r="L236">
        <v>19724000000</v>
      </c>
      <c r="M236">
        <v>23571000000</v>
      </c>
    </row>
    <row r="237" spans="1:13" x14ac:dyDescent="0.25">
      <c r="A237">
        <f t="shared" si="11"/>
        <v>4</v>
      </c>
      <c r="B237" t="str">
        <f t="shared" si="9"/>
        <v>KO</v>
      </c>
      <c r="C237" t="s">
        <v>16</v>
      </c>
      <c r="D237" t="str">
        <f t="shared" si="10"/>
        <v>KO | currentAccountsPayable</v>
      </c>
      <c r="E237">
        <v>2795000000</v>
      </c>
      <c r="F237">
        <v>2682000000</v>
      </c>
      <c r="G237">
        <v>2288000000</v>
      </c>
      <c r="H237">
        <v>2498000000</v>
      </c>
      <c r="I237">
        <v>3804000000</v>
      </c>
      <c r="J237">
        <v>4654000000</v>
      </c>
      <c r="K237">
        <v>5720000000</v>
      </c>
      <c r="L237">
        <v>6241000000</v>
      </c>
      <c r="M237">
        <v>5590000000</v>
      </c>
    </row>
    <row r="238" spans="1:13" x14ac:dyDescent="0.25">
      <c r="A238">
        <f t="shared" si="11"/>
        <v>4</v>
      </c>
      <c r="B238" t="str">
        <f t="shared" si="9"/>
        <v>KO</v>
      </c>
      <c r="C238" t="s">
        <v>15</v>
      </c>
      <c r="D238" t="str">
        <f t="shared" si="10"/>
        <v>KO | deferredRevenue</v>
      </c>
    </row>
    <row r="239" spans="1:13" x14ac:dyDescent="0.25">
      <c r="A239">
        <f t="shared" si="11"/>
        <v>4</v>
      </c>
      <c r="B239" t="str">
        <f t="shared" si="9"/>
        <v>KO</v>
      </c>
      <c r="C239" t="s">
        <v>14</v>
      </c>
      <c r="D239" t="str">
        <f t="shared" si="10"/>
        <v>KO | currentDebt</v>
      </c>
      <c r="E239">
        <v>15712000000</v>
      </c>
      <c r="F239">
        <v>15857000000</v>
      </c>
      <c r="G239">
        <v>16229000000</v>
      </c>
      <c r="H239">
        <v>18060000000</v>
      </c>
      <c r="I239">
        <v>14541000000</v>
      </c>
      <c r="J239">
        <v>2668000000</v>
      </c>
      <c r="K239">
        <v>4645000000</v>
      </c>
      <c r="L239">
        <v>2772000000</v>
      </c>
      <c r="M239">
        <v>6517000000</v>
      </c>
    </row>
    <row r="240" spans="1:13" x14ac:dyDescent="0.25">
      <c r="A240">
        <f t="shared" si="11"/>
        <v>4</v>
      </c>
      <c r="B240" t="str">
        <f t="shared" si="9"/>
        <v>KO</v>
      </c>
      <c r="C240" t="s">
        <v>13</v>
      </c>
      <c r="D240" t="str">
        <f t="shared" si="10"/>
        <v>KO | shortTermDebt</v>
      </c>
      <c r="E240">
        <v>13035000000</v>
      </c>
      <c r="F240">
        <v>12330000000</v>
      </c>
      <c r="G240">
        <v>12931000000</v>
      </c>
      <c r="H240">
        <v>13063000000</v>
      </c>
      <c r="I240">
        <v>10994000000</v>
      </c>
      <c r="J240">
        <v>2183000000</v>
      </c>
      <c r="K240">
        <v>3307000000</v>
      </c>
      <c r="L240">
        <v>2373000000</v>
      </c>
      <c r="M240">
        <v>4557000000</v>
      </c>
    </row>
    <row r="241" spans="1:13" x14ac:dyDescent="0.25">
      <c r="A241">
        <f t="shared" si="11"/>
        <v>4</v>
      </c>
      <c r="B241" t="str">
        <f t="shared" si="9"/>
        <v>KO</v>
      </c>
      <c r="C241" t="s">
        <v>12</v>
      </c>
      <c r="D241" t="str">
        <f t="shared" si="10"/>
        <v>KO | totalNonCurrentLiabilities</v>
      </c>
      <c r="E241">
        <v>37399000000</v>
      </c>
      <c r="F241">
        <v>37518000000</v>
      </c>
      <c r="G241">
        <v>41725000000</v>
      </c>
      <c r="H241">
        <v>34935000000</v>
      </c>
      <c r="I241">
        <v>37137000000</v>
      </c>
      <c r="J241">
        <v>51411000000</v>
      </c>
      <c r="K241">
        <v>50719000000</v>
      </c>
      <c r="L241">
        <v>48329000000</v>
      </c>
      <c r="M241">
        <v>47819000000</v>
      </c>
    </row>
    <row r="242" spans="1:13" x14ac:dyDescent="0.25">
      <c r="A242">
        <f t="shared" si="11"/>
        <v>4</v>
      </c>
      <c r="B242" t="str">
        <f t="shared" si="9"/>
        <v>KO</v>
      </c>
      <c r="C242" t="s">
        <v>11</v>
      </c>
      <c r="D242" t="str">
        <f t="shared" si="10"/>
        <v>KO | capitalLeaseObligations</v>
      </c>
    </row>
    <row r="243" spans="1:13" x14ac:dyDescent="0.25">
      <c r="A243">
        <f t="shared" si="11"/>
        <v>4</v>
      </c>
      <c r="B243" t="str">
        <f t="shared" si="9"/>
        <v>KO</v>
      </c>
      <c r="C243" t="s">
        <v>10</v>
      </c>
      <c r="D243" t="str">
        <f t="shared" si="10"/>
        <v>KO | longTermDebt</v>
      </c>
      <c r="E243">
        <v>30987000000</v>
      </c>
      <c r="F243">
        <v>33211000000</v>
      </c>
      <c r="G243">
        <v>34480000000</v>
      </c>
      <c r="H243">
        <v>30379000000</v>
      </c>
      <c r="I243">
        <v>31769000000</v>
      </c>
      <c r="J243">
        <v>40610000000</v>
      </c>
      <c r="K243">
        <v>39454000000</v>
      </c>
      <c r="L243">
        <v>36776000000</v>
      </c>
      <c r="M243">
        <v>37507000000</v>
      </c>
    </row>
    <row r="244" spans="1:13" x14ac:dyDescent="0.25">
      <c r="A244">
        <f t="shared" si="11"/>
        <v>4</v>
      </c>
      <c r="B244" t="str">
        <f t="shared" si="9"/>
        <v>KO</v>
      </c>
      <c r="C244" t="s">
        <v>9</v>
      </c>
      <c r="D244" t="str">
        <f t="shared" si="10"/>
        <v>KO | currentLongTermDebt</v>
      </c>
      <c r="E244">
        <v>2676000000</v>
      </c>
      <c r="F244">
        <v>3527000000</v>
      </c>
      <c r="G244">
        <v>3298000000</v>
      </c>
      <c r="H244">
        <v>5003000000</v>
      </c>
      <c r="I244">
        <v>4253000000</v>
      </c>
      <c r="J244">
        <v>485000000</v>
      </c>
      <c r="K244">
        <v>1338000000</v>
      </c>
      <c r="L244">
        <v>399000000</v>
      </c>
      <c r="M244">
        <v>1960000000</v>
      </c>
    </row>
    <row r="245" spans="1:13" x14ac:dyDescent="0.25">
      <c r="A245">
        <f t="shared" si="11"/>
        <v>4</v>
      </c>
      <c r="B245" t="str">
        <f t="shared" si="9"/>
        <v>KO</v>
      </c>
      <c r="C245" t="s">
        <v>8</v>
      </c>
      <c r="D245" t="str">
        <f t="shared" si="10"/>
        <v>KO | longTermDebtNoncurrent</v>
      </c>
      <c r="E245">
        <v>28311000000</v>
      </c>
      <c r="F245">
        <v>29684000000</v>
      </c>
      <c r="G245">
        <v>31182000000</v>
      </c>
      <c r="H245">
        <v>25376000000</v>
      </c>
      <c r="I245">
        <v>27516000000</v>
      </c>
      <c r="J245">
        <v>40125000000</v>
      </c>
      <c r="K245">
        <v>38116000000</v>
      </c>
      <c r="L245">
        <v>36377000000</v>
      </c>
      <c r="M245">
        <v>35547000000</v>
      </c>
    </row>
    <row r="246" spans="1:13" x14ac:dyDescent="0.25">
      <c r="A246">
        <f t="shared" si="11"/>
        <v>4</v>
      </c>
      <c r="B246" t="str">
        <f t="shared" si="9"/>
        <v>KO</v>
      </c>
      <c r="C246" t="s">
        <v>7</v>
      </c>
      <c r="D246" t="str">
        <f t="shared" si="10"/>
        <v>KO | shortLongTermDebtTotal</v>
      </c>
      <c r="E246">
        <v>44119000000</v>
      </c>
      <c r="F246">
        <v>45541000000</v>
      </c>
      <c r="G246">
        <v>47411000000</v>
      </c>
      <c r="H246">
        <v>43424000000</v>
      </c>
      <c r="I246">
        <v>42763000000</v>
      </c>
      <c r="J246">
        <v>42793000000</v>
      </c>
      <c r="K246">
        <v>42761000000</v>
      </c>
      <c r="L246">
        <v>39149000000</v>
      </c>
      <c r="M246">
        <v>42064000000</v>
      </c>
    </row>
    <row r="247" spans="1:13" x14ac:dyDescent="0.25">
      <c r="A247">
        <f t="shared" si="11"/>
        <v>4</v>
      </c>
      <c r="B247" t="str">
        <f t="shared" si="9"/>
        <v>KO</v>
      </c>
      <c r="C247" t="s">
        <v>6</v>
      </c>
      <c r="D247" t="str">
        <f t="shared" si="10"/>
        <v>KO | otherCurrentLiabilities</v>
      </c>
      <c r="E247">
        <v>1133000000</v>
      </c>
      <c r="F247">
        <v>710000000</v>
      </c>
      <c r="G247">
        <v>1533000000</v>
      </c>
      <c r="H247">
        <v>1722000000</v>
      </c>
      <c r="I247">
        <v>414000000</v>
      </c>
      <c r="J247">
        <v>7306000000</v>
      </c>
      <c r="K247">
        <v>10017000000</v>
      </c>
      <c r="L247">
        <v>10442000000</v>
      </c>
      <c r="M247">
        <v>9895000000</v>
      </c>
    </row>
    <row r="248" spans="1:13" x14ac:dyDescent="0.25">
      <c r="A248">
        <f t="shared" si="11"/>
        <v>4</v>
      </c>
      <c r="B248" t="str">
        <f t="shared" si="9"/>
        <v>KO</v>
      </c>
      <c r="C248" t="s">
        <v>5</v>
      </c>
      <c r="D248" t="str">
        <f t="shared" si="10"/>
        <v>KO | otherNonCurrentLiabilities</v>
      </c>
      <c r="E248">
        <v>4301000000</v>
      </c>
      <c r="F248">
        <v>4081000000</v>
      </c>
      <c r="G248">
        <v>8021000000</v>
      </c>
      <c r="H248">
        <v>7646000000</v>
      </c>
      <c r="I248">
        <v>8510000000</v>
      </c>
      <c r="J248">
        <v>9453000000</v>
      </c>
      <c r="K248">
        <v>8607000000</v>
      </c>
      <c r="L248">
        <v>7922000000</v>
      </c>
      <c r="M248">
        <v>8466000000</v>
      </c>
    </row>
    <row r="249" spans="1:13" x14ac:dyDescent="0.25">
      <c r="A249">
        <f t="shared" si="11"/>
        <v>4</v>
      </c>
      <c r="B249" t="str">
        <f t="shared" si="9"/>
        <v>KO</v>
      </c>
      <c r="C249" t="s">
        <v>4</v>
      </c>
      <c r="D249" t="str">
        <f t="shared" si="10"/>
        <v>KO | totalShareholderEquity</v>
      </c>
      <c r="E249">
        <v>25554000000</v>
      </c>
      <c r="F249">
        <v>23062000000</v>
      </c>
      <c r="G249">
        <v>17072000000</v>
      </c>
      <c r="H249">
        <v>16981000000</v>
      </c>
      <c r="I249">
        <v>18981000000</v>
      </c>
      <c r="J249">
        <v>19299000000</v>
      </c>
      <c r="K249">
        <v>22999000000</v>
      </c>
      <c r="L249">
        <v>24105000000</v>
      </c>
      <c r="M249">
        <v>25941000000</v>
      </c>
    </row>
    <row r="250" spans="1:13" x14ac:dyDescent="0.25">
      <c r="A250">
        <f t="shared" si="11"/>
        <v>4</v>
      </c>
      <c r="B250" t="str">
        <f t="shared" si="9"/>
        <v>KO</v>
      </c>
      <c r="C250" t="s">
        <v>3</v>
      </c>
      <c r="D250" t="str">
        <f t="shared" si="10"/>
        <v>KO | treasuryStock</v>
      </c>
      <c r="E250">
        <v>45066000000</v>
      </c>
      <c r="F250">
        <v>47988000000</v>
      </c>
      <c r="G250">
        <v>50677000000</v>
      </c>
      <c r="H250">
        <v>51719000000</v>
      </c>
      <c r="I250">
        <v>52244000000</v>
      </c>
      <c r="J250">
        <v>52016000000</v>
      </c>
      <c r="K250">
        <v>51641000000</v>
      </c>
      <c r="L250">
        <v>52601000000</v>
      </c>
      <c r="M250">
        <v>54535000000</v>
      </c>
    </row>
    <row r="251" spans="1:13" x14ac:dyDescent="0.25">
      <c r="A251">
        <f t="shared" si="11"/>
        <v>4</v>
      </c>
      <c r="B251" t="str">
        <f t="shared" si="9"/>
        <v>KO</v>
      </c>
      <c r="C251" t="s">
        <v>2</v>
      </c>
      <c r="D251" t="str">
        <f t="shared" si="10"/>
        <v>KO | retainedEarnings</v>
      </c>
      <c r="E251">
        <v>65018000000</v>
      </c>
      <c r="F251">
        <v>65502000000</v>
      </c>
      <c r="G251">
        <v>60430000000</v>
      </c>
      <c r="H251">
        <v>63234000000</v>
      </c>
      <c r="I251">
        <v>65855000000</v>
      </c>
      <c r="J251">
        <v>66555000000</v>
      </c>
      <c r="K251">
        <v>69094000000</v>
      </c>
      <c r="L251">
        <v>71019000000</v>
      </c>
      <c r="M251">
        <v>73782000000</v>
      </c>
    </row>
    <row r="252" spans="1:13" x14ac:dyDescent="0.25">
      <c r="A252">
        <f t="shared" si="11"/>
        <v>4</v>
      </c>
      <c r="B252" t="str">
        <f t="shared" si="9"/>
        <v>KO</v>
      </c>
      <c r="C252" t="s">
        <v>1</v>
      </c>
      <c r="D252" t="str">
        <f t="shared" si="10"/>
        <v>KO | commonStock</v>
      </c>
      <c r="E252">
        <v>1760000000</v>
      </c>
      <c r="F252">
        <v>1760000000</v>
      </c>
      <c r="G252">
        <v>1760000000</v>
      </c>
      <c r="H252">
        <v>1760000000</v>
      </c>
      <c r="I252">
        <v>1760000000</v>
      </c>
      <c r="J252">
        <v>1760000000</v>
      </c>
      <c r="K252">
        <v>1760000000</v>
      </c>
      <c r="L252">
        <v>1760000000</v>
      </c>
      <c r="M252">
        <v>1760000000</v>
      </c>
    </row>
    <row r="253" spans="1:13" x14ac:dyDescent="0.25">
      <c r="A253">
        <f t="shared" si="11"/>
        <v>4</v>
      </c>
      <c r="B253" t="str">
        <f t="shared" si="9"/>
        <v>KO</v>
      </c>
      <c r="C253" t="s">
        <v>0</v>
      </c>
      <c r="D253" t="str">
        <f t="shared" si="10"/>
        <v>KO | commonStockSharesOutstanding</v>
      </c>
      <c r="E253">
        <v>4337000000</v>
      </c>
      <c r="F253">
        <v>4302000000</v>
      </c>
      <c r="G253">
        <v>4263000000</v>
      </c>
      <c r="H253">
        <v>17035987226</v>
      </c>
      <c r="I253">
        <v>4285000000</v>
      </c>
      <c r="J253">
        <v>4301000000</v>
      </c>
      <c r="K253">
        <v>4321000000</v>
      </c>
      <c r="L253">
        <v>4325000000</v>
      </c>
      <c r="M253">
        <v>4317000000</v>
      </c>
    </row>
    <row r="254" spans="1:13" x14ac:dyDescent="0.25">
      <c r="A254">
        <f t="shared" si="11"/>
        <v>4</v>
      </c>
      <c r="B254" t="str">
        <f t="shared" si="9"/>
        <v>KO</v>
      </c>
      <c r="C254" t="s">
        <v>82</v>
      </c>
      <c r="D254" t="str">
        <f t="shared" si="10"/>
        <v>KO | META</v>
      </c>
      <c r="E254" t="s">
        <v>78</v>
      </c>
      <c r="F254" t="s">
        <v>77</v>
      </c>
      <c r="G254" t="s">
        <v>76</v>
      </c>
      <c r="H254" t="s">
        <v>75</v>
      </c>
      <c r="I254" t="s">
        <v>74</v>
      </c>
      <c r="J254" t="s">
        <v>73</v>
      </c>
      <c r="K254" t="s">
        <v>72</v>
      </c>
      <c r="L254" t="s">
        <v>71</v>
      </c>
      <c r="M254" t="s">
        <v>70</v>
      </c>
    </row>
    <row r="255" spans="1:13" x14ac:dyDescent="0.25">
      <c r="A255">
        <f t="shared" si="11"/>
        <v>5</v>
      </c>
      <c r="B255" t="str">
        <f t="shared" si="9"/>
        <v>META</v>
      </c>
      <c r="C255" t="s">
        <v>46</v>
      </c>
      <c r="D255" t="str">
        <f t="shared" si="10"/>
        <v>META | grossProfit</v>
      </c>
      <c r="E255">
        <v>15061000000</v>
      </c>
      <c r="F255">
        <v>23849000000</v>
      </c>
      <c r="G255">
        <v>35199000000</v>
      </c>
      <c r="H255">
        <v>46261000000</v>
      </c>
      <c r="I255">
        <v>57802000000</v>
      </c>
      <c r="J255">
        <v>69130000000</v>
      </c>
      <c r="K255">
        <v>95125000000</v>
      </c>
      <c r="L255">
        <v>91103000000</v>
      </c>
      <c r="M255">
        <v>108131000000</v>
      </c>
    </row>
    <row r="256" spans="1:13" x14ac:dyDescent="0.25">
      <c r="A256">
        <f t="shared" si="11"/>
        <v>5</v>
      </c>
      <c r="B256" t="str">
        <f t="shared" si="9"/>
        <v>META</v>
      </c>
      <c r="C256" t="s">
        <v>47</v>
      </c>
      <c r="D256" t="str">
        <f t="shared" si="10"/>
        <v>META | totalRevenue</v>
      </c>
      <c r="E256">
        <v>17928000000</v>
      </c>
      <c r="F256">
        <v>27638000000</v>
      </c>
      <c r="G256">
        <v>40653000000</v>
      </c>
      <c r="H256">
        <v>55616000000</v>
      </c>
      <c r="I256">
        <v>70572000000</v>
      </c>
      <c r="J256">
        <v>85822000000</v>
      </c>
      <c r="K256">
        <v>117774000000</v>
      </c>
      <c r="L256">
        <v>116352000000</v>
      </c>
      <c r="M256">
        <v>134090000000</v>
      </c>
    </row>
    <row r="257" spans="1:13" x14ac:dyDescent="0.25">
      <c r="A257">
        <f t="shared" si="11"/>
        <v>5</v>
      </c>
      <c r="B257" t="str">
        <f t="shared" si="9"/>
        <v>META</v>
      </c>
      <c r="C257" t="s">
        <v>48</v>
      </c>
      <c r="D257" t="str">
        <f t="shared" si="10"/>
        <v>META | costOfRevenue</v>
      </c>
      <c r="E257">
        <v>2867000000</v>
      </c>
      <c r="F257">
        <v>3789000000</v>
      </c>
      <c r="G257">
        <v>5454000000</v>
      </c>
      <c r="H257">
        <v>9355000000</v>
      </c>
      <c r="I257">
        <v>12770000000</v>
      </c>
      <c r="J257">
        <v>16692000000</v>
      </c>
      <c r="K257">
        <v>22649000000</v>
      </c>
      <c r="L257">
        <v>25249000000</v>
      </c>
      <c r="M257">
        <v>25959000000</v>
      </c>
    </row>
    <row r="258" spans="1:13" x14ac:dyDescent="0.25">
      <c r="A258">
        <f t="shared" si="11"/>
        <v>5</v>
      </c>
      <c r="B258" t="str">
        <f t="shared" si="9"/>
        <v>META</v>
      </c>
      <c r="C258" t="s">
        <v>49</v>
      </c>
      <c r="D258" t="str">
        <f t="shared" si="10"/>
        <v>META | costofGoodsAndServicesSold</v>
      </c>
      <c r="E258">
        <v>2867000000</v>
      </c>
      <c r="F258">
        <v>3789000000</v>
      </c>
      <c r="G258">
        <v>5454000000</v>
      </c>
      <c r="H258">
        <v>9355000000</v>
      </c>
      <c r="I258">
        <v>12770000000</v>
      </c>
      <c r="J258">
        <v>16692000000</v>
      </c>
      <c r="K258">
        <v>22649000000</v>
      </c>
      <c r="L258">
        <v>25249000000</v>
      </c>
      <c r="M258">
        <v>25959000000</v>
      </c>
    </row>
    <row r="259" spans="1:13" x14ac:dyDescent="0.25">
      <c r="A259">
        <f t="shared" si="11"/>
        <v>5</v>
      </c>
      <c r="B259" t="str">
        <f t="shared" si="9"/>
        <v>META</v>
      </c>
      <c r="C259" t="s">
        <v>50</v>
      </c>
      <c r="D259" t="str">
        <f t="shared" si="10"/>
        <v>META | operatingIncome</v>
      </c>
      <c r="E259">
        <v>6225000000</v>
      </c>
      <c r="F259">
        <v>12427000000</v>
      </c>
      <c r="G259">
        <v>20203000000</v>
      </c>
      <c r="H259">
        <v>24913000000</v>
      </c>
      <c r="I259">
        <v>23986000000</v>
      </c>
      <c r="J259">
        <v>32671000000</v>
      </c>
      <c r="K259">
        <v>46753000000</v>
      </c>
      <c r="L259">
        <v>28944000000</v>
      </c>
      <c r="M259">
        <v>46751000000</v>
      </c>
    </row>
    <row r="260" spans="1:13" x14ac:dyDescent="0.25">
      <c r="A260">
        <f t="shared" si="11"/>
        <v>5</v>
      </c>
      <c r="B260" t="str">
        <f t="shared" si="9"/>
        <v>META</v>
      </c>
      <c r="C260" t="s">
        <v>51</v>
      </c>
      <c r="D260" t="str">
        <f t="shared" si="10"/>
        <v>META | sellingGeneralAndAdministrative</v>
      </c>
      <c r="E260">
        <v>4020000000</v>
      </c>
      <c r="F260">
        <v>5503000000</v>
      </c>
      <c r="G260">
        <v>7242000000</v>
      </c>
      <c r="H260">
        <v>11297000000</v>
      </c>
      <c r="I260">
        <v>20341000000</v>
      </c>
      <c r="J260">
        <v>18155000000</v>
      </c>
      <c r="K260">
        <v>23872000000</v>
      </c>
      <c r="L260">
        <v>27078000000</v>
      </c>
      <c r="M260">
        <v>23709000000</v>
      </c>
    </row>
    <row r="261" spans="1:13" x14ac:dyDescent="0.25">
      <c r="A261">
        <f t="shared" si="11"/>
        <v>5</v>
      </c>
      <c r="B261" t="str">
        <f t="shared" si="9"/>
        <v>META</v>
      </c>
      <c r="C261" t="s">
        <v>52</v>
      </c>
      <c r="D261" t="str">
        <f t="shared" si="10"/>
        <v>META | researchAndDevelopment</v>
      </c>
      <c r="E261">
        <v>4816000000</v>
      </c>
      <c r="F261">
        <v>5919000000</v>
      </c>
      <c r="G261">
        <v>7754000000</v>
      </c>
      <c r="H261">
        <v>10273000000</v>
      </c>
      <c r="I261">
        <v>13600000000</v>
      </c>
      <c r="J261">
        <v>18447000000</v>
      </c>
      <c r="K261">
        <v>24655000000</v>
      </c>
      <c r="L261">
        <v>35338000000</v>
      </c>
      <c r="M261">
        <v>38483000000</v>
      </c>
    </row>
    <row r="262" spans="1:13" x14ac:dyDescent="0.25">
      <c r="A262">
        <f t="shared" si="11"/>
        <v>5</v>
      </c>
      <c r="B262" t="str">
        <f t="shared" si="9"/>
        <v>META</v>
      </c>
      <c r="C262" t="s">
        <v>53</v>
      </c>
      <c r="D262" t="str">
        <f t="shared" si="10"/>
        <v>META | operatingExpenses</v>
      </c>
      <c r="E262">
        <v>9610000000</v>
      </c>
      <c r="F262">
        <v>12239000000</v>
      </c>
      <c r="G262">
        <v>15736000000</v>
      </c>
      <c r="H262">
        <v>22287000000</v>
      </c>
      <c r="I262">
        <v>34698000000</v>
      </c>
      <c r="J262">
        <v>37334000000</v>
      </c>
      <c r="K262">
        <v>49278000000</v>
      </c>
      <c r="L262">
        <v>62981000000</v>
      </c>
      <c r="M262">
        <v>65134000000</v>
      </c>
    </row>
    <row r="263" spans="1:13" x14ac:dyDescent="0.25">
      <c r="A263">
        <f t="shared" si="11"/>
        <v>5</v>
      </c>
      <c r="B263" t="str">
        <f t="shared" ref="B263:B327" si="12">IF(C263="grossProfit",C262,B262)</f>
        <v>META</v>
      </c>
      <c r="C263" t="s">
        <v>54</v>
      </c>
      <c r="D263" t="str">
        <f t="shared" si="10"/>
        <v>META | investmentIncomeNet</v>
      </c>
      <c r="E263">
        <v>52000000</v>
      </c>
      <c r="F263">
        <v>176000000</v>
      </c>
      <c r="G263">
        <v>398000000</v>
      </c>
      <c r="H263">
        <v>661000000</v>
      </c>
      <c r="I263">
        <v>924000000</v>
      </c>
      <c r="L263">
        <v>461000000</v>
      </c>
      <c r="M263">
        <v>1639000000</v>
      </c>
    </row>
    <row r="264" spans="1:13" x14ac:dyDescent="0.25">
      <c r="A264">
        <f t="shared" si="11"/>
        <v>5</v>
      </c>
      <c r="B264" t="str">
        <f t="shared" si="12"/>
        <v>META</v>
      </c>
      <c r="C264" t="s">
        <v>55</v>
      </c>
      <c r="D264" t="str">
        <f t="shared" ref="D264:D328" si="13">CONCATENATE(B264," | ",C264)</f>
        <v>META | netInterestIncome</v>
      </c>
      <c r="E264">
        <v>-23000000</v>
      </c>
      <c r="F264">
        <v>-10000000</v>
      </c>
      <c r="G264">
        <v>-6000000</v>
      </c>
      <c r="H264">
        <v>-9000000</v>
      </c>
      <c r="I264">
        <v>-20000000</v>
      </c>
      <c r="J264">
        <v>-14000000</v>
      </c>
      <c r="K264">
        <v>-15000000</v>
      </c>
      <c r="L264">
        <v>-176000000</v>
      </c>
      <c r="M264">
        <v>-446000000</v>
      </c>
    </row>
    <row r="265" spans="1:13" x14ac:dyDescent="0.25">
      <c r="A265">
        <f t="shared" ref="A265:A329" si="14">IF(B265=B264,A264,A264+1)</f>
        <v>5</v>
      </c>
      <c r="B265" t="str">
        <f t="shared" si="12"/>
        <v>META</v>
      </c>
      <c r="C265" t="s">
        <v>56</v>
      </c>
      <c r="D265" t="str">
        <f t="shared" si="13"/>
        <v>META | interestIncome</v>
      </c>
      <c r="E265">
        <v>52000000</v>
      </c>
      <c r="F265">
        <v>176000000</v>
      </c>
      <c r="G265">
        <v>398000000</v>
      </c>
      <c r="H265">
        <v>661000000</v>
      </c>
      <c r="I265">
        <v>924000000</v>
      </c>
      <c r="J265">
        <v>672000000</v>
      </c>
      <c r="K265">
        <v>484000000</v>
      </c>
      <c r="L265">
        <v>9000000</v>
      </c>
      <c r="M265">
        <v>1639000000</v>
      </c>
    </row>
    <row r="266" spans="1:13" x14ac:dyDescent="0.25">
      <c r="A266">
        <f t="shared" si="14"/>
        <v>5</v>
      </c>
      <c r="B266" t="str">
        <f t="shared" si="12"/>
        <v>META</v>
      </c>
      <c r="C266" t="s">
        <v>57</v>
      </c>
      <c r="D266" t="str">
        <f t="shared" si="13"/>
        <v>META | interestExpense</v>
      </c>
      <c r="E266">
        <v>23000000</v>
      </c>
      <c r="F266">
        <v>10000000</v>
      </c>
      <c r="G266">
        <v>6000000</v>
      </c>
      <c r="H266">
        <v>9000000</v>
      </c>
      <c r="I266">
        <v>20000000</v>
      </c>
      <c r="J266">
        <v>14000000</v>
      </c>
      <c r="K266">
        <v>15000000</v>
      </c>
      <c r="L266">
        <v>185000000</v>
      </c>
      <c r="M266">
        <v>446000000</v>
      </c>
    </row>
    <row r="267" spans="1:13" x14ac:dyDescent="0.25">
      <c r="A267">
        <f t="shared" si="14"/>
        <v>5</v>
      </c>
      <c r="B267" t="str">
        <f t="shared" si="12"/>
        <v>META</v>
      </c>
      <c r="C267" t="s">
        <v>58</v>
      </c>
      <c r="D267" t="str">
        <f t="shared" si="13"/>
        <v>META | nonInterestIncome</v>
      </c>
      <c r="E267">
        <v>-66000000</v>
      </c>
      <c r="F267">
        <v>-76000000</v>
      </c>
      <c r="G267">
        <v>-6000000</v>
      </c>
      <c r="H267">
        <v>55625000000</v>
      </c>
      <c r="I267">
        <v>70592000000</v>
      </c>
      <c r="J267">
        <v>85836000000</v>
      </c>
      <c r="K267">
        <v>117789000000</v>
      </c>
      <c r="L267">
        <v>116528000000</v>
      </c>
      <c r="M267">
        <v>134536000000</v>
      </c>
    </row>
    <row r="268" spans="1:13" x14ac:dyDescent="0.25">
      <c r="A268">
        <f t="shared" si="14"/>
        <v>5</v>
      </c>
      <c r="B268" t="str">
        <f t="shared" si="12"/>
        <v>META</v>
      </c>
      <c r="C268" t="s">
        <v>59</v>
      </c>
      <c r="D268" t="str">
        <f t="shared" si="13"/>
        <v>META | otherNonOperatingIncome</v>
      </c>
      <c r="E268">
        <v>6000000</v>
      </c>
      <c r="F268">
        <v>1000000</v>
      </c>
      <c r="G268">
        <v>5000000</v>
      </c>
      <c r="H268">
        <v>9000000</v>
      </c>
      <c r="I268">
        <v>27000000</v>
      </c>
      <c r="J268">
        <v>-34000000</v>
      </c>
      <c r="K268">
        <v>210000000</v>
      </c>
      <c r="L268">
        <v>-320000000</v>
      </c>
      <c r="M268">
        <v>-150000000</v>
      </c>
    </row>
    <row r="269" spans="1:13" x14ac:dyDescent="0.25">
      <c r="A269">
        <f t="shared" si="14"/>
        <v>5</v>
      </c>
      <c r="B269" t="str">
        <f t="shared" si="12"/>
        <v>META</v>
      </c>
      <c r="C269" t="s">
        <v>60</v>
      </c>
      <c r="D269" t="str">
        <f t="shared" si="13"/>
        <v>META | depreciation</v>
      </c>
      <c r="E269">
        <v>1220000000</v>
      </c>
      <c r="F269">
        <v>1590000000</v>
      </c>
      <c r="G269">
        <v>2330000000</v>
      </c>
      <c r="H269">
        <v>3680000000</v>
      </c>
      <c r="I269">
        <v>5180000000</v>
      </c>
      <c r="J269">
        <v>6390000000</v>
      </c>
      <c r="K269">
        <v>7560000000</v>
      </c>
      <c r="L269">
        <v>8500000000</v>
      </c>
      <c r="M269">
        <v>11020000000</v>
      </c>
    </row>
    <row r="270" spans="1:13" x14ac:dyDescent="0.25">
      <c r="A270">
        <f t="shared" si="14"/>
        <v>5</v>
      </c>
      <c r="B270" t="str">
        <f t="shared" si="12"/>
        <v>META</v>
      </c>
      <c r="C270" t="s">
        <v>61</v>
      </c>
      <c r="D270" t="str">
        <f t="shared" si="13"/>
        <v>META | depreciationAndAmortization</v>
      </c>
      <c r="E270">
        <v>730000000</v>
      </c>
      <c r="F270">
        <v>751000000</v>
      </c>
      <c r="G270">
        <v>692000000</v>
      </c>
      <c r="H270">
        <v>640000000</v>
      </c>
      <c r="I270">
        <v>757000000</v>
      </c>
      <c r="J270">
        <v>732000000</v>
      </c>
      <c r="K270">
        <v>751000000</v>
      </c>
      <c r="L270">
        <v>565000000</v>
      </c>
      <c r="M270">
        <v>510000000</v>
      </c>
    </row>
    <row r="271" spans="1:13" x14ac:dyDescent="0.25">
      <c r="A271">
        <f t="shared" si="14"/>
        <v>5</v>
      </c>
      <c r="B271" t="str">
        <f t="shared" si="12"/>
        <v>META</v>
      </c>
      <c r="C271" t="s">
        <v>62</v>
      </c>
      <c r="D271" t="str">
        <f t="shared" si="13"/>
        <v>META | incomeBeforeTax</v>
      </c>
      <c r="E271">
        <v>6194000000</v>
      </c>
      <c r="F271">
        <v>12518000000</v>
      </c>
      <c r="G271">
        <v>20594000000</v>
      </c>
      <c r="H271">
        <v>25361000000</v>
      </c>
      <c r="I271">
        <v>24812000000</v>
      </c>
      <c r="J271">
        <v>33180000000</v>
      </c>
      <c r="K271">
        <v>47284000000</v>
      </c>
      <c r="L271">
        <v>28819000000</v>
      </c>
      <c r="M271">
        <v>47428000000</v>
      </c>
    </row>
    <row r="272" spans="1:13" x14ac:dyDescent="0.25">
      <c r="A272">
        <f t="shared" si="14"/>
        <v>5</v>
      </c>
      <c r="B272" t="str">
        <f t="shared" si="12"/>
        <v>META</v>
      </c>
      <c r="C272" t="s">
        <v>63</v>
      </c>
      <c r="D272" t="str">
        <f t="shared" si="13"/>
        <v>META | incomeTaxExpense</v>
      </c>
      <c r="E272">
        <v>2506000000</v>
      </c>
      <c r="F272">
        <v>2301000000</v>
      </c>
      <c r="G272">
        <v>4660000000</v>
      </c>
      <c r="H272">
        <v>3249000000</v>
      </c>
      <c r="I272">
        <v>6327000000</v>
      </c>
      <c r="J272">
        <v>4034000000</v>
      </c>
      <c r="K272">
        <v>7914000000</v>
      </c>
      <c r="L272">
        <v>5619000000</v>
      </c>
      <c r="M272">
        <v>8330000000</v>
      </c>
    </row>
    <row r="273" spans="1:14" x14ac:dyDescent="0.25">
      <c r="A273">
        <f t="shared" si="14"/>
        <v>5</v>
      </c>
      <c r="B273" t="str">
        <f t="shared" si="12"/>
        <v>META</v>
      </c>
      <c r="C273" t="s">
        <v>64</v>
      </c>
      <c r="D273" t="str">
        <f t="shared" si="13"/>
        <v>META | interestAndDebtExpense</v>
      </c>
      <c r="E273">
        <v>23000000</v>
      </c>
      <c r="F273">
        <v>10000000</v>
      </c>
      <c r="G273">
        <v>6000000</v>
      </c>
      <c r="H273">
        <v>9000000</v>
      </c>
      <c r="I273">
        <v>20000000</v>
      </c>
      <c r="J273">
        <v>14000000</v>
      </c>
      <c r="K273">
        <v>15000000</v>
      </c>
      <c r="L273">
        <v>176000000</v>
      </c>
      <c r="M273">
        <v>446000000</v>
      </c>
    </row>
    <row r="274" spans="1:14" x14ac:dyDescent="0.25">
      <c r="A274">
        <f t="shared" si="14"/>
        <v>5</v>
      </c>
      <c r="B274" t="str">
        <f t="shared" si="12"/>
        <v>META</v>
      </c>
      <c r="C274" t="s">
        <v>65</v>
      </c>
      <c r="D274" t="str">
        <f t="shared" si="13"/>
        <v>META | netIncomeFromContinuingOperations</v>
      </c>
      <c r="E274">
        <v>3688000000</v>
      </c>
      <c r="F274">
        <v>10217000000</v>
      </c>
      <c r="G274">
        <v>15934000000</v>
      </c>
      <c r="H274">
        <v>22112000000</v>
      </c>
      <c r="I274">
        <v>18485000000</v>
      </c>
      <c r="J274">
        <v>29146000000</v>
      </c>
      <c r="K274">
        <v>39370000000</v>
      </c>
      <c r="L274">
        <v>23200000000</v>
      </c>
      <c r="M274">
        <v>39098000000</v>
      </c>
    </row>
    <row r="275" spans="1:14" x14ac:dyDescent="0.25">
      <c r="A275">
        <f t="shared" si="14"/>
        <v>5</v>
      </c>
      <c r="B275" t="str">
        <f t="shared" si="12"/>
        <v>META</v>
      </c>
      <c r="C275" t="s">
        <v>66</v>
      </c>
      <c r="D275" t="str">
        <f t="shared" si="13"/>
        <v>META | comprehensiveIncomeNetOfTax</v>
      </c>
      <c r="E275">
        <v>3461000000</v>
      </c>
      <c r="F275">
        <v>9969000000</v>
      </c>
      <c r="G275">
        <v>16410000000</v>
      </c>
      <c r="H275">
        <v>21610000000</v>
      </c>
      <c r="I275">
        <v>18756000000</v>
      </c>
      <c r="J275">
        <v>30562000000</v>
      </c>
      <c r="K275">
        <v>37750000000</v>
      </c>
      <c r="L275">
        <v>20363000000</v>
      </c>
      <c r="M275">
        <v>40473000000</v>
      </c>
    </row>
    <row r="276" spans="1:14" x14ac:dyDescent="0.25">
      <c r="A276">
        <f t="shared" si="14"/>
        <v>5</v>
      </c>
      <c r="B276" t="str">
        <f t="shared" si="12"/>
        <v>META</v>
      </c>
      <c r="C276" t="s">
        <v>67</v>
      </c>
      <c r="D276" t="str">
        <f t="shared" si="13"/>
        <v>META | ebit</v>
      </c>
      <c r="E276">
        <v>6217000000</v>
      </c>
      <c r="F276">
        <v>12528000000</v>
      </c>
      <c r="G276">
        <v>20600000000</v>
      </c>
      <c r="H276">
        <v>25370000000</v>
      </c>
      <c r="I276">
        <v>24832000000</v>
      </c>
      <c r="J276">
        <v>32671000000</v>
      </c>
      <c r="K276">
        <v>46753000000</v>
      </c>
      <c r="L276">
        <v>28944000000</v>
      </c>
      <c r="M276">
        <v>47874000000</v>
      </c>
    </row>
    <row r="277" spans="1:14" x14ac:dyDescent="0.25">
      <c r="A277">
        <f t="shared" si="14"/>
        <v>5</v>
      </c>
      <c r="B277" t="str">
        <f t="shared" si="12"/>
        <v>META</v>
      </c>
      <c r="C277" t="s">
        <v>68</v>
      </c>
      <c r="D277" t="str">
        <f t="shared" si="13"/>
        <v>META | ebitda</v>
      </c>
      <c r="E277">
        <v>6947000000</v>
      </c>
      <c r="F277">
        <v>13279000000</v>
      </c>
      <c r="G277">
        <v>21292000000</v>
      </c>
      <c r="H277">
        <v>26010000000</v>
      </c>
      <c r="I277">
        <v>25589000000</v>
      </c>
      <c r="J277">
        <v>33926000000</v>
      </c>
      <c r="K277">
        <v>48050000000</v>
      </c>
      <c r="L277">
        <v>29560000000</v>
      </c>
      <c r="M277">
        <v>48384000000</v>
      </c>
    </row>
    <row r="278" spans="1:14" x14ac:dyDescent="0.25">
      <c r="A278">
        <f>IF(B278=B277,A277,A277+1)</f>
        <v>5</v>
      </c>
      <c r="B278" t="str">
        <f>IF(C278="grossProfit",C277,B277)</f>
        <v>META</v>
      </c>
      <c r="C278" t="s">
        <v>69</v>
      </c>
      <c r="D278" t="str">
        <f t="shared" si="13"/>
        <v>META | netIncome</v>
      </c>
      <c r="E278">
        <v>3688000000</v>
      </c>
      <c r="F278">
        <v>10217000000</v>
      </c>
      <c r="G278">
        <v>15934000000</v>
      </c>
      <c r="H278">
        <v>22112000000</v>
      </c>
      <c r="I278">
        <v>18485000000</v>
      </c>
      <c r="J278">
        <v>29146000000</v>
      </c>
      <c r="K278">
        <v>39370000000</v>
      </c>
      <c r="L278">
        <v>23200000000</v>
      </c>
      <c r="M278">
        <v>39098000000</v>
      </c>
    </row>
    <row r="279" spans="1:14" x14ac:dyDescent="0.25">
      <c r="A279">
        <f>IF(B279=B278,A278,A278+1)</f>
        <v>5</v>
      </c>
      <c r="B279" t="str">
        <f>IF(C279="grossProfit",C278,B278)</f>
        <v>META</v>
      </c>
      <c r="C279" t="s">
        <v>144</v>
      </c>
      <c r="D279" t="str">
        <f t="shared" si="13"/>
        <v>META | reportedEPS</v>
      </c>
      <c r="E279">
        <v>2.2799999999999998</v>
      </c>
      <c r="F279">
        <v>4.24</v>
      </c>
      <c r="G279">
        <v>6.42</v>
      </c>
      <c r="H279">
        <v>7.57</v>
      </c>
      <c r="I279">
        <v>8.56</v>
      </c>
      <c r="J279">
        <v>9.7899999999999991</v>
      </c>
      <c r="K279">
        <v>13.8</v>
      </c>
      <c r="L279">
        <v>8.58</v>
      </c>
      <c r="M279">
        <v>14.9</v>
      </c>
      <c r="N279">
        <v>23.92</v>
      </c>
    </row>
    <row r="280" spans="1:14" x14ac:dyDescent="0.25">
      <c r="A280">
        <f>IF(B280=B278,A278,A278+1)</f>
        <v>5</v>
      </c>
      <c r="B280" t="str">
        <f>IF(C280="grossProfit",C278,B278)</f>
        <v>META</v>
      </c>
      <c r="C280" t="s">
        <v>82</v>
      </c>
      <c r="D280" t="str">
        <f t="shared" si="13"/>
        <v>META | META</v>
      </c>
      <c r="E280" t="s">
        <v>78</v>
      </c>
      <c r="F280" t="s">
        <v>77</v>
      </c>
      <c r="G280" t="s">
        <v>76</v>
      </c>
      <c r="H280" t="s">
        <v>75</v>
      </c>
      <c r="I280" t="s">
        <v>74</v>
      </c>
      <c r="J280" t="s">
        <v>73</v>
      </c>
      <c r="K280" t="s">
        <v>72</v>
      </c>
      <c r="L280" t="s">
        <v>71</v>
      </c>
      <c r="M280" t="s">
        <v>70</v>
      </c>
    </row>
    <row r="281" spans="1:14" x14ac:dyDescent="0.25">
      <c r="A281">
        <f t="shared" si="14"/>
        <v>5</v>
      </c>
      <c r="B281" t="str">
        <f t="shared" si="12"/>
        <v>META</v>
      </c>
      <c r="C281" t="s">
        <v>35</v>
      </c>
      <c r="D281" t="str">
        <f t="shared" si="13"/>
        <v>META | totalAssets</v>
      </c>
      <c r="E281">
        <v>49407000000</v>
      </c>
      <c r="F281">
        <v>64961000000</v>
      </c>
      <c r="G281">
        <v>84524000000</v>
      </c>
      <c r="H281">
        <v>97334000000</v>
      </c>
      <c r="I281">
        <v>133376000000</v>
      </c>
      <c r="J281">
        <v>159316000000</v>
      </c>
      <c r="K281">
        <v>165987000000</v>
      </c>
      <c r="L281">
        <v>185727000000</v>
      </c>
      <c r="M281">
        <v>229623000000</v>
      </c>
    </row>
    <row r="282" spans="1:14" x14ac:dyDescent="0.25">
      <c r="A282">
        <f t="shared" si="14"/>
        <v>5</v>
      </c>
      <c r="B282" t="str">
        <f t="shared" si="12"/>
        <v>META</v>
      </c>
      <c r="C282" t="s">
        <v>34</v>
      </c>
      <c r="D282" t="str">
        <f t="shared" si="13"/>
        <v>META | totalCurrentAssets</v>
      </c>
      <c r="E282">
        <v>21652000000</v>
      </c>
      <c r="F282">
        <v>34401000000</v>
      </c>
      <c r="G282">
        <v>48563000000</v>
      </c>
      <c r="H282">
        <v>50480000000</v>
      </c>
      <c r="I282">
        <v>66225000000</v>
      </c>
      <c r="J282">
        <v>75670000000</v>
      </c>
      <c r="K282">
        <v>66666000000</v>
      </c>
      <c r="L282">
        <v>59549000000</v>
      </c>
      <c r="M282">
        <v>85365000000</v>
      </c>
    </row>
    <row r="283" spans="1:14" x14ac:dyDescent="0.25">
      <c r="A283">
        <f t="shared" si="14"/>
        <v>5</v>
      </c>
      <c r="B283" t="str">
        <f t="shared" si="12"/>
        <v>META</v>
      </c>
      <c r="C283" t="s">
        <v>33</v>
      </c>
      <c r="D283" t="str">
        <f t="shared" si="13"/>
        <v>META | cashAndCashEquivalentsAtCarryingValue</v>
      </c>
      <c r="E283">
        <v>4907000000</v>
      </c>
      <c r="F283">
        <v>8903000000</v>
      </c>
      <c r="G283">
        <v>8079000000</v>
      </c>
      <c r="H283">
        <v>10019000000</v>
      </c>
      <c r="I283">
        <v>19079000000</v>
      </c>
      <c r="J283">
        <v>17576000000</v>
      </c>
      <c r="K283">
        <v>16601000000</v>
      </c>
      <c r="L283">
        <v>14681000000</v>
      </c>
      <c r="M283">
        <v>41862000000</v>
      </c>
    </row>
    <row r="284" spans="1:14" x14ac:dyDescent="0.25">
      <c r="A284">
        <f t="shared" si="14"/>
        <v>5</v>
      </c>
      <c r="B284" t="str">
        <f t="shared" si="12"/>
        <v>META</v>
      </c>
      <c r="C284" t="s">
        <v>32</v>
      </c>
      <c r="D284" t="str">
        <f t="shared" si="13"/>
        <v>META | cashAndShortTermInvestments</v>
      </c>
      <c r="E284">
        <v>18434000000</v>
      </c>
      <c r="F284">
        <v>29449000000</v>
      </c>
      <c r="G284">
        <v>41711000000</v>
      </c>
      <c r="H284">
        <v>41114000000</v>
      </c>
      <c r="I284">
        <v>54855000000</v>
      </c>
      <c r="J284">
        <v>61954000000</v>
      </c>
      <c r="K284">
        <v>47998000000</v>
      </c>
      <c r="L284">
        <v>40763000000</v>
      </c>
      <c r="M284">
        <v>65403000000</v>
      </c>
    </row>
    <row r="285" spans="1:14" x14ac:dyDescent="0.25">
      <c r="A285">
        <f t="shared" si="14"/>
        <v>5</v>
      </c>
      <c r="B285" t="str">
        <f t="shared" si="12"/>
        <v>META</v>
      </c>
      <c r="C285" t="s">
        <v>31</v>
      </c>
      <c r="D285" t="str">
        <f t="shared" si="13"/>
        <v>META | inventory</v>
      </c>
    </row>
    <row r="286" spans="1:14" x14ac:dyDescent="0.25">
      <c r="A286">
        <f t="shared" si="14"/>
        <v>5</v>
      </c>
      <c r="B286" t="str">
        <f t="shared" si="12"/>
        <v>META</v>
      </c>
      <c r="C286" t="s">
        <v>30</v>
      </c>
      <c r="D286" t="str">
        <f t="shared" si="13"/>
        <v>META | currentNetReceivables</v>
      </c>
      <c r="E286">
        <v>2559000000</v>
      </c>
      <c r="F286">
        <v>3993000000</v>
      </c>
      <c r="G286">
        <v>5832000000</v>
      </c>
      <c r="H286">
        <v>7587000000</v>
      </c>
      <c r="I286">
        <v>9518000000</v>
      </c>
      <c r="J286">
        <v>11335000000</v>
      </c>
      <c r="K286">
        <v>14039000000</v>
      </c>
      <c r="L286">
        <v>13466000000</v>
      </c>
      <c r="M286">
        <v>16169000000</v>
      </c>
    </row>
    <row r="287" spans="1:14" x14ac:dyDescent="0.25">
      <c r="A287">
        <f t="shared" si="14"/>
        <v>5</v>
      </c>
      <c r="B287" t="str">
        <f t="shared" si="12"/>
        <v>META</v>
      </c>
      <c r="C287" t="s">
        <v>29</v>
      </c>
      <c r="D287" t="str">
        <f t="shared" si="13"/>
        <v>META | totalNonCurrentAssets</v>
      </c>
      <c r="E287">
        <v>27755000000</v>
      </c>
      <c r="F287">
        <v>30560000000</v>
      </c>
      <c r="G287">
        <v>35961000000</v>
      </c>
      <c r="H287">
        <v>46854000000</v>
      </c>
      <c r="I287">
        <v>31828000000</v>
      </c>
      <c r="J287">
        <v>31779000000</v>
      </c>
      <c r="K287">
        <v>34771000000</v>
      </c>
      <c r="L287">
        <v>40476000000</v>
      </c>
      <c r="M287">
        <v>41588000000</v>
      </c>
    </row>
    <row r="288" spans="1:14" x14ac:dyDescent="0.25">
      <c r="A288">
        <f t="shared" si="14"/>
        <v>5</v>
      </c>
      <c r="B288" t="str">
        <f t="shared" si="12"/>
        <v>META</v>
      </c>
      <c r="C288" t="s">
        <v>28</v>
      </c>
      <c r="D288" t="str">
        <f t="shared" si="13"/>
        <v>META | propertyPlantEquipment</v>
      </c>
      <c r="E288">
        <v>5687000000</v>
      </c>
      <c r="F288">
        <v>8591000000</v>
      </c>
      <c r="G288">
        <v>13721000000</v>
      </c>
      <c r="H288">
        <v>24683000000</v>
      </c>
      <c r="I288">
        <v>35323000000</v>
      </c>
      <c r="J288">
        <v>45633000000</v>
      </c>
      <c r="K288">
        <v>57809000000</v>
      </c>
      <c r="L288">
        <v>79518000000</v>
      </c>
      <c r="M288">
        <v>96587000000</v>
      </c>
    </row>
    <row r="289" spans="1:13" x14ac:dyDescent="0.25">
      <c r="A289">
        <f t="shared" si="14"/>
        <v>5</v>
      </c>
      <c r="B289" t="str">
        <f t="shared" si="12"/>
        <v>META</v>
      </c>
      <c r="C289" t="s">
        <v>27</v>
      </c>
      <c r="D289" t="str">
        <f t="shared" si="13"/>
        <v>META | accumulatedDepreciationAmortizationPPE</v>
      </c>
      <c r="E289">
        <v>2132000000</v>
      </c>
      <c r="F289">
        <v>3212000000</v>
      </c>
      <c r="G289">
        <v>4616000000</v>
      </c>
      <c r="H289">
        <v>6890000000</v>
      </c>
      <c r="I289">
        <v>10663000000</v>
      </c>
    </row>
    <row r="290" spans="1:13" x14ac:dyDescent="0.25">
      <c r="A290">
        <f t="shared" si="14"/>
        <v>5</v>
      </c>
      <c r="B290" t="str">
        <f t="shared" si="12"/>
        <v>META</v>
      </c>
      <c r="C290" t="s">
        <v>26</v>
      </c>
      <c r="D290" t="str">
        <f t="shared" si="13"/>
        <v>META | intangibleAssets</v>
      </c>
      <c r="E290">
        <v>21272000000</v>
      </c>
      <c r="F290">
        <v>20657000000</v>
      </c>
      <c r="G290">
        <v>20105000000</v>
      </c>
      <c r="H290">
        <v>19595000000</v>
      </c>
      <c r="I290">
        <v>19609000000</v>
      </c>
      <c r="J290">
        <v>19673000000</v>
      </c>
      <c r="K290">
        <v>19831000000</v>
      </c>
      <c r="L290">
        <v>21203000000</v>
      </c>
      <c r="M290">
        <v>21442000000</v>
      </c>
    </row>
    <row r="291" spans="1:13" x14ac:dyDescent="0.25">
      <c r="A291">
        <f t="shared" si="14"/>
        <v>5</v>
      </c>
      <c r="B291" t="str">
        <f t="shared" si="12"/>
        <v>META</v>
      </c>
      <c r="C291" t="s">
        <v>25</v>
      </c>
      <c r="D291" t="str">
        <f t="shared" si="13"/>
        <v>META | intangibleAssetsExcludingGoodwill</v>
      </c>
      <c r="E291">
        <v>3246000000</v>
      </c>
      <c r="F291">
        <v>2535000000</v>
      </c>
      <c r="G291">
        <v>1884000000</v>
      </c>
      <c r="H291">
        <v>1294000000</v>
      </c>
      <c r="I291">
        <v>894000000</v>
      </c>
      <c r="J291">
        <v>623000000</v>
      </c>
      <c r="K291">
        <v>634000000</v>
      </c>
      <c r="L291">
        <v>897000000</v>
      </c>
      <c r="M291">
        <v>788000000</v>
      </c>
    </row>
    <row r="292" spans="1:13" x14ac:dyDescent="0.25">
      <c r="A292">
        <f t="shared" si="14"/>
        <v>5</v>
      </c>
      <c r="B292" t="str">
        <f t="shared" si="12"/>
        <v>META</v>
      </c>
      <c r="C292" t="s">
        <v>24</v>
      </c>
      <c r="D292" t="str">
        <f t="shared" si="13"/>
        <v>META | goodwill</v>
      </c>
      <c r="E292">
        <v>18026000000</v>
      </c>
      <c r="F292">
        <v>18122000000</v>
      </c>
      <c r="G292">
        <v>18221000000</v>
      </c>
      <c r="H292">
        <v>18301000000</v>
      </c>
      <c r="I292">
        <v>18715000000</v>
      </c>
      <c r="J292">
        <v>19050000000</v>
      </c>
      <c r="K292">
        <v>19197000000</v>
      </c>
      <c r="L292">
        <v>20306000000</v>
      </c>
      <c r="M292">
        <v>20654000000</v>
      </c>
    </row>
    <row r="293" spans="1:13" x14ac:dyDescent="0.25">
      <c r="A293">
        <f t="shared" si="14"/>
        <v>5</v>
      </c>
      <c r="B293" t="str">
        <f t="shared" si="12"/>
        <v>META</v>
      </c>
      <c r="C293" t="s">
        <v>23</v>
      </c>
      <c r="D293" t="str">
        <f t="shared" si="13"/>
        <v>META | investments</v>
      </c>
      <c r="E293">
        <v>5029000000</v>
      </c>
      <c r="F293">
        <v>20546000000</v>
      </c>
      <c r="G293">
        <v>33632000000</v>
      </c>
      <c r="H293">
        <v>62190000000</v>
      </c>
      <c r="I293">
        <v>71552000000</v>
      </c>
      <c r="J293">
        <v>88756000000</v>
      </c>
      <c r="K293">
        <v>62828000000</v>
      </c>
      <c r="L293">
        <v>52106000000</v>
      </c>
      <c r="M293">
        <v>47140000000</v>
      </c>
    </row>
    <row r="294" spans="1:13" x14ac:dyDescent="0.25">
      <c r="A294">
        <f t="shared" si="14"/>
        <v>5</v>
      </c>
      <c r="B294" t="str">
        <f t="shared" si="12"/>
        <v>META</v>
      </c>
      <c r="C294" t="s">
        <v>22</v>
      </c>
      <c r="D294" t="str">
        <f t="shared" si="13"/>
        <v>META | longTermInvestments</v>
      </c>
      <c r="J294">
        <v>62000000</v>
      </c>
      <c r="K294">
        <v>34000000</v>
      </c>
      <c r="L294">
        <v>17000000</v>
      </c>
      <c r="M294">
        <v>58000000</v>
      </c>
    </row>
    <row r="295" spans="1:13" x14ac:dyDescent="0.25">
      <c r="A295">
        <f t="shared" si="14"/>
        <v>5</v>
      </c>
      <c r="B295" t="str">
        <f t="shared" si="12"/>
        <v>META</v>
      </c>
      <c r="C295" t="s">
        <v>21</v>
      </c>
      <c r="D295" t="str">
        <f t="shared" si="13"/>
        <v>META | shortTermInvestments</v>
      </c>
      <c r="E295">
        <v>13527000000</v>
      </c>
      <c r="F295">
        <v>20546000000</v>
      </c>
      <c r="G295">
        <v>33632000000</v>
      </c>
      <c r="H295">
        <v>31095000000</v>
      </c>
      <c r="I295">
        <v>35776000000</v>
      </c>
      <c r="J295">
        <v>44378000000</v>
      </c>
      <c r="K295">
        <v>31397000000</v>
      </c>
      <c r="L295">
        <v>26082000000</v>
      </c>
      <c r="M295">
        <v>23541000000</v>
      </c>
    </row>
    <row r="296" spans="1:13" x14ac:dyDescent="0.25">
      <c r="A296">
        <f t="shared" si="14"/>
        <v>5</v>
      </c>
      <c r="B296" t="str">
        <f t="shared" si="12"/>
        <v>META</v>
      </c>
      <c r="C296" t="s">
        <v>20</v>
      </c>
      <c r="D296" t="str">
        <f t="shared" si="13"/>
        <v>META | otherCurrentAssets</v>
      </c>
      <c r="E296">
        <v>659000000</v>
      </c>
      <c r="F296">
        <v>959000000</v>
      </c>
      <c r="G296">
        <v>1020000000</v>
      </c>
      <c r="H296">
        <v>1779000000</v>
      </c>
      <c r="I296">
        <v>1852000000</v>
      </c>
      <c r="J296">
        <v>2381000000</v>
      </c>
      <c r="K296">
        <v>4629000000</v>
      </c>
      <c r="L296">
        <v>5345000000</v>
      </c>
      <c r="M296">
        <v>3793000000</v>
      </c>
    </row>
    <row r="297" spans="1:13" x14ac:dyDescent="0.25">
      <c r="A297">
        <f t="shared" si="14"/>
        <v>5</v>
      </c>
      <c r="B297" t="str">
        <f t="shared" si="12"/>
        <v>META</v>
      </c>
      <c r="C297" t="s">
        <v>19</v>
      </c>
      <c r="D297" t="str">
        <f t="shared" si="13"/>
        <v>META | otherNonCurrentAssets</v>
      </c>
      <c r="E297">
        <v>796000000</v>
      </c>
      <c r="F297">
        <v>1312000000</v>
      </c>
      <c r="G297">
        <v>2135000000</v>
      </c>
      <c r="H297">
        <v>2576000000</v>
      </c>
      <c r="I297">
        <v>2673000000</v>
      </c>
      <c r="J297">
        <v>2758000000</v>
      </c>
      <c r="K297">
        <v>2751000000</v>
      </c>
      <c r="L297">
        <v>6583000000</v>
      </c>
      <c r="M297">
        <v>7582000000</v>
      </c>
    </row>
    <row r="298" spans="1:13" x14ac:dyDescent="0.25">
      <c r="A298">
        <f t="shared" si="14"/>
        <v>5</v>
      </c>
      <c r="B298" t="str">
        <f t="shared" si="12"/>
        <v>META</v>
      </c>
      <c r="C298" t="s">
        <v>18</v>
      </c>
      <c r="D298" t="str">
        <f t="shared" si="13"/>
        <v>META | totalLiabilities</v>
      </c>
      <c r="E298">
        <v>5189000000</v>
      </c>
      <c r="F298">
        <v>5767000000</v>
      </c>
      <c r="G298">
        <v>10177000000</v>
      </c>
      <c r="H298">
        <v>13207000000</v>
      </c>
      <c r="I298">
        <v>32322000000</v>
      </c>
      <c r="J298">
        <v>31026000000</v>
      </c>
      <c r="K298">
        <v>41108000000</v>
      </c>
      <c r="L298">
        <v>60014000000</v>
      </c>
      <c r="M298">
        <v>76455000000</v>
      </c>
    </row>
    <row r="299" spans="1:13" x14ac:dyDescent="0.25">
      <c r="A299">
        <f t="shared" si="14"/>
        <v>5</v>
      </c>
      <c r="B299" t="str">
        <f t="shared" si="12"/>
        <v>META</v>
      </c>
      <c r="C299" t="s">
        <v>17</v>
      </c>
      <c r="D299" t="str">
        <f t="shared" si="13"/>
        <v>META | totalCurrentLiabilities</v>
      </c>
      <c r="E299">
        <v>1925000000</v>
      </c>
      <c r="F299">
        <v>2875000000</v>
      </c>
      <c r="G299">
        <v>3760000000</v>
      </c>
      <c r="H299">
        <v>7017000000</v>
      </c>
      <c r="I299">
        <v>15053000000</v>
      </c>
      <c r="J299">
        <v>14981000000</v>
      </c>
      <c r="K299">
        <v>21135000000</v>
      </c>
      <c r="L299">
        <v>27026000000</v>
      </c>
      <c r="M299">
        <v>31960000000</v>
      </c>
    </row>
    <row r="300" spans="1:13" x14ac:dyDescent="0.25">
      <c r="A300">
        <f t="shared" si="14"/>
        <v>5</v>
      </c>
      <c r="B300" t="str">
        <f t="shared" si="12"/>
        <v>META</v>
      </c>
      <c r="C300" t="s">
        <v>16</v>
      </c>
      <c r="D300" t="str">
        <f t="shared" si="13"/>
        <v>META | currentAccountsPayable</v>
      </c>
      <c r="E300">
        <v>196000000</v>
      </c>
      <c r="F300">
        <v>302000000</v>
      </c>
      <c r="G300">
        <v>380000000</v>
      </c>
      <c r="H300">
        <v>820000000</v>
      </c>
      <c r="I300">
        <v>1363000000</v>
      </c>
      <c r="J300">
        <v>1331000000</v>
      </c>
      <c r="K300">
        <v>5135000000</v>
      </c>
      <c r="L300">
        <v>6107000000</v>
      </c>
      <c r="M300">
        <v>5712000000</v>
      </c>
    </row>
    <row r="301" spans="1:13" x14ac:dyDescent="0.25">
      <c r="A301">
        <f t="shared" si="14"/>
        <v>5</v>
      </c>
      <c r="B301" t="str">
        <f t="shared" si="12"/>
        <v>META</v>
      </c>
      <c r="C301" t="s">
        <v>15</v>
      </c>
      <c r="D301" t="str">
        <f t="shared" si="13"/>
        <v>META | deferredRevenue</v>
      </c>
      <c r="E301">
        <v>28000000</v>
      </c>
      <c r="F301">
        <v>62000000</v>
      </c>
      <c r="G301">
        <v>68000000</v>
      </c>
      <c r="H301">
        <v>264000000</v>
      </c>
      <c r="I301">
        <v>503000000</v>
      </c>
      <c r="J301">
        <v>717000000</v>
      </c>
      <c r="K301">
        <v>1113000000</v>
      </c>
      <c r="L301">
        <v>1008000000</v>
      </c>
      <c r="M301">
        <v>1301000000</v>
      </c>
    </row>
    <row r="302" spans="1:13" x14ac:dyDescent="0.25">
      <c r="A302">
        <f t="shared" si="14"/>
        <v>5</v>
      </c>
      <c r="B302" t="str">
        <f t="shared" si="12"/>
        <v>META</v>
      </c>
      <c r="C302" t="s">
        <v>14</v>
      </c>
      <c r="D302" t="str">
        <f t="shared" si="13"/>
        <v>META | currentDebt</v>
      </c>
      <c r="E302">
        <v>208000000</v>
      </c>
      <c r="I302">
        <v>855000000</v>
      </c>
      <c r="J302">
        <v>54000000</v>
      </c>
      <c r="K302">
        <v>75000000</v>
      </c>
      <c r="L302">
        <v>129000000</v>
      </c>
      <c r="M302">
        <v>90000000</v>
      </c>
    </row>
    <row r="303" spans="1:13" x14ac:dyDescent="0.25">
      <c r="A303">
        <f t="shared" si="14"/>
        <v>5</v>
      </c>
      <c r="B303" t="str">
        <f t="shared" si="12"/>
        <v>META</v>
      </c>
      <c r="C303" t="s">
        <v>13</v>
      </c>
      <c r="D303" t="str">
        <f t="shared" si="13"/>
        <v>META | shortTermDebt</v>
      </c>
      <c r="E303">
        <v>7000000</v>
      </c>
      <c r="F303">
        <v>1247000000</v>
      </c>
      <c r="G303">
        <v>2081000000</v>
      </c>
      <c r="H303">
        <v>500000000</v>
      </c>
      <c r="I303">
        <v>800000000</v>
      </c>
      <c r="J303">
        <v>1023000000</v>
      </c>
      <c r="K303">
        <v>1127000000</v>
      </c>
      <c r="L303">
        <v>10000000000</v>
      </c>
      <c r="M303">
        <v>1623000000</v>
      </c>
    </row>
    <row r="304" spans="1:13" x14ac:dyDescent="0.25">
      <c r="A304">
        <f t="shared" si="14"/>
        <v>5</v>
      </c>
      <c r="B304" t="str">
        <f t="shared" si="12"/>
        <v>META</v>
      </c>
      <c r="C304" t="s">
        <v>12</v>
      </c>
      <c r="D304" t="str">
        <f t="shared" si="13"/>
        <v>META | totalNonCurrentLiabilities</v>
      </c>
      <c r="E304">
        <v>6152000000</v>
      </c>
      <c r="F304">
        <v>5323000000</v>
      </c>
      <c r="G304">
        <v>6417000000</v>
      </c>
      <c r="H304">
        <v>6190000000</v>
      </c>
      <c r="I304">
        <v>18308000000</v>
      </c>
      <c r="J304">
        <v>21539000000</v>
      </c>
      <c r="K304">
        <v>26417000000</v>
      </c>
      <c r="L304">
        <v>40191000000</v>
      </c>
      <c r="M304">
        <v>52609000000</v>
      </c>
    </row>
    <row r="305" spans="1:13" x14ac:dyDescent="0.25">
      <c r="A305">
        <f t="shared" si="14"/>
        <v>5</v>
      </c>
      <c r="B305" t="str">
        <f t="shared" si="12"/>
        <v>META</v>
      </c>
      <c r="C305" t="s">
        <v>11</v>
      </c>
      <c r="D305" t="str">
        <f t="shared" si="13"/>
        <v>META | capitalLeaseObligations</v>
      </c>
      <c r="E305">
        <v>107000000</v>
      </c>
      <c r="H305">
        <v>418000000</v>
      </c>
      <c r="I305">
        <v>418000000</v>
      </c>
      <c r="J305">
        <v>469000000</v>
      </c>
      <c r="K305">
        <v>506000000</v>
      </c>
      <c r="L305">
        <v>558000000</v>
      </c>
      <c r="M305">
        <v>600000000</v>
      </c>
    </row>
    <row r="306" spans="1:13" x14ac:dyDescent="0.25">
      <c r="A306">
        <f t="shared" si="14"/>
        <v>5</v>
      </c>
      <c r="B306" t="str">
        <f t="shared" si="12"/>
        <v>META</v>
      </c>
      <c r="C306" t="s">
        <v>10</v>
      </c>
      <c r="D306" t="str">
        <f t="shared" si="13"/>
        <v>META | longTermDebt</v>
      </c>
      <c r="E306">
        <v>201000000</v>
      </c>
      <c r="F306">
        <v>112000000</v>
      </c>
      <c r="G306">
        <v>72000000</v>
      </c>
      <c r="L306">
        <v>9923000000</v>
      </c>
      <c r="M306">
        <v>18385000000</v>
      </c>
    </row>
    <row r="307" spans="1:13" x14ac:dyDescent="0.25">
      <c r="A307">
        <f t="shared" si="14"/>
        <v>5</v>
      </c>
      <c r="B307" t="str">
        <f t="shared" si="12"/>
        <v>META</v>
      </c>
      <c r="C307" t="s">
        <v>9</v>
      </c>
      <c r="D307" t="str">
        <f t="shared" si="13"/>
        <v>META | currentLongTermDebt</v>
      </c>
      <c r="E307">
        <v>201000000</v>
      </c>
      <c r="F307">
        <v>280000000</v>
      </c>
      <c r="G307">
        <v>390000000</v>
      </c>
      <c r="H307">
        <v>500000000</v>
      </c>
      <c r="I307">
        <v>800000000</v>
      </c>
    </row>
    <row r="308" spans="1:13" x14ac:dyDescent="0.25">
      <c r="A308">
        <f t="shared" si="14"/>
        <v>5</v>
      </c>
      <c r="B308" t="str">
        <f t="shared" si="12"/>
        <v>META</v>
      </c>
      <c r="C308" t="s">
        <v>8</v>
      </c>
      <c r="D308" t="str">
        <f t="shared" si="13"/>
        <v>META | longTermDebtNoncurrent</v>
      </c>
      <c r="K308">
        <v>0</v>
      </c>
      <c r="L308">
        <v>9923000000</v>
      </c>
      <c r="M308">
        <v>18385000000</v>
      </c>
    </row>
    <row r="309" spans="1:13" x14ac:dyDescent="0.25">
      <c r="A309">
        <f t="shared" si="14"/>
        <v>5</v>
      </c>
      <c r="B309" t="str">
        <f t="shared" si="12"/>
        <v>META</v>
      </c>
      <c r="C309" t="s">
        <v>7</v>
      </c>
      <c r="D309" t="str">
        <f t="shared" si="13"/>
        <v>META | shortLongTermDebtTotal</v>
      </c>
      <c r="E309">
        <v>201000000</v>
      </c>
      <c r="G309">
        <v>72000000</v>
      </c>
      <c r="H309">
        <v>500000000</v>
      </c>
      <c r="I309">
        <v>10324000000</v>
      </c>
      <c r="J309">
        <v>10654000000</v>
      </c>
      <c r="K309">
        <v>13873000000</v>
      </c>
      <c r="L309">
        <v>19923000000</v>
      </c>
      <c r="M309">
        <v>18385000000</v>
      </c>
    </row>
    <row r="310" spans="1:13" x14ac:dyDescent="0.25">
      <c r="A310">
        <f t="shared" si="14"/>
        <v>5</v>
      </c>
      <c r="B310" t="str">
        <f t="shared" si="12"/>
        <v>META</v>
      </c>
      <c r="C310" t="s">
        <v>6</v>
      </c>
      <c r="D310" t="str">
        <f t="shared" si="13"/>
        <v>META | otherCurrentLiabilities</v>
      </c>
      <c r="E310">
        <v>1666000000</v>
      </c>
      <c r="F310">
        <v>2483000000</v>
      </c>
      <c r="G310">
        <v>3282000000</v>
      </c>
      <c r="H310">
        <v>5550000000</v>
      </c>
      <c r="I310">
        <v>12621000000</v>
      </c>
      <c r="J310">
        <v>12245000000</v>
      </c>
      <c r="K310">
        <v>15364000000</v>
      </c>
      <c r="L310">
        <v>4906000000</v>
      </c>
      <c r="M310">
        <v>21833000000</v>
      </c>
    </row>
    <row r="311" spans="1:13" x14ac:dyDescent="0.25">
      <c r="A311">
        <f t="shared" si="14"/>
        <v>5</v>
      </c>
      <c r="B311" t="str">
        <f t="shared" si="12"/>
        <v>META</v>
      </c>
      <c r="C311" t="s">
        <v>5</v>
      </c>
      <c r="D311" t="str">
        <f t="shared" si="13"/>
        <v>META | otherNonCurrentLiabilities</v>
      </c>
      <c r="E311">
        <v>3157000000</v>
      </c>
      <c r="F311">
        <v>2892000000</v>
      </c>
      <c r="G311">
        <v>6417000000</v>
      </c>
      <c r="H311">
        <v>6190000000</v>
      </c>
      <c r="I311">
        <v>7745000000</v>
      </c>
      <c r="J311">
        <v>6414000000</v>
      </c>
      <c r="K311">
        <v>7227000000</v>
      </c>
      <c r="L311">
        <v>7764000000</v>
      </c>
      <c r="M311">
        <v>1370000000</v>
      </c>
    </row>
    <row r="312" spans="1:13" x14ac:dyDescent="0.25">
      <c r="A312">
        <f t="shared" si="14"/>
        <v>5</v>
      </c>
      <c r="B312" t="str">
        <f t="shared" si="12"/>
        <v>META</v>
      </c>
      <c r="C312" t="s">
        <v>4</v>
      </c>
      <c r="D312" t="str">
        <f t="shared" si="13"/>
        <v>META | totalShareholderEquity</v>
      </c>
      <c r="E312">
        <v>44218000000</v>
      </c>
      <c r="F312">
        <v>59194000000</v>
      </c>
      <c r="G312">
        <v>74347000000</v>
      </c>
      <c r="H312">
        <v>84127000000</v>
      </c>
      <c r="I312">
        <v>101054000000</v>
      </c>
      <c r="J312">
        <v>128290000000</v>
      </c>
      <c r="K312">
        <v>124879000000</v>
      </c>
      <c r="L312">
        <v>125713000000</v>
      </c>
      <c r="M312">
        <v>153168000000</v>
      </c>
    </row>
    <row r="313" spans="1:13" x14ac:dyDescent="0.25">
      <c r="A313">
        <f t="shared" si="14"/>
        <v>5</v>
      </c>
      <c r="B313" t="str">
        <f t="shared" si="12"/>
        <v>META</v>
      </c>
      <c r="C313" t="s">
        <v>3</v>
      </c>
      <c r="D313" t="str">
        <f t="shared" si="13"/>
        <v>META | treasuryStock</v>
      </c>
    </row>
    <row r="314" spans="1:13" x14ac:dyDescent="0.25">
      <c r="A314">
        <f t="shared" si="14"/>
        <v>5</v>
      </c>
      <c r="B314" t="str">
        <f t="shared" si="12"/>
        <v>META</v>
      </c>
      <c r="C314" t="s">
        <v>2</v>
      </c>
      <c r="D314" t="str">
        <f t="shared" si="13"/>
        <v>META | retainedEarnings</v>
      </c>
      <c r="E314">
        <v>9787000000</v>
      </c>
      <c r="F314">
        <v>21670000000</v>
      </c>
      <c r="G314">
        <v>33990000000</v>
      </c>
      <c r="H314">
        <v>41981000000</v>
      </c>
      <c r="I314">
        <v>55692000000</v>
      </c>
      <c r="J314">
        <v>77345000000</v>
      </c>
      <c r="K314">
        <v>69761000000</v>
      </c>
      <c r="L314">
        <v>64799000000</v>
      </c>
      <c r="M314">
        <v>82070000000</v>
      </c>
    </row>
    <row r="315" spans="1:13" x14ac:dyDescent="0.25">
      <c r="A315">
        <f t="shared" si="14"/>
        <v>5</v>
      </c>
      <c r="B315" t="str">
        <f t="shared" si="12"/>
        <v>META</v>
      </c>
      <c r="C315" t="s">
        <v>1</v>
      </c>
      <c r="D315" t="str">
        <f t="shared" si="13"/>
        <v>META | commonStock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f t="shared" si="14"/>
        <v>5</v>
      </c>
      <c r="B316" t="str">
        <f t="shared" si="12"/>
        <v>META</v>
      </c>
      <c r="C316" t="s">
        <v>0</v>
      </c>
      <c r="D316" t="str">
        <f t="shared" si="13"/>
        <v>META | commonStockSharesOutstanding</v>
      </c>
      <c r="E316">
        <v>2824000000</v>
      </c>
      <c r="F316">
        <v>2881000000</v>
      </c>
      <c r="G316">
        <v>2910000000</v>
      </c>
      <c r="H316">
        <v>2875000000</v>
      </c>
      <c r="I316">
        <v>2851000000</v>
      </c>
      <c r="J316">
        <v>2854000000</v>
      </c>
      <c r="K316">
        <v>2764000000</v>
      </c>
      <c r="L316">
        <v>2639000000</v>
      </c>
      <c r="M316">
        <v>2565000000</v>
      </c>
    </row>
    <row r="317" spans="1:13" x14ac:dyDescent="0.25">
      <c r="A317">
        <f t="shared" si="14"/>
        <v>5</v>
      </c>
      <c r="B317" t="str">
        <f t="shared" si="12"/>
        <v>META</v>
      </c>
      <c r="C317" t="s">
        <v>92</v>
      </c>
      <c r="D317" t="str">
        <f t="shared" si="13"/>
        <v>META | MSTF</v>
      </c>
      <c r="E317" t="s">
        <v>91</v>
      </c>
      <c r="F317" t="s">
        <v>90</v>
      </c>
      <c r="G317" t="s">
        <v>89</v>
      </c>
      <c r="H317" t="s">
        <v>88</v>
      </c>
      <c r="I317" t="s">
        <v>87</v>
      </c>
      <c r="J317" t="s">
        <v>86</v>
      </c>
      <c r="K317" t="s">
        <v>85</v>
      </c>
      <c r="L317" t="s">
        <v>84</v>
      </c>
      <c r="M317" t="s">
        <v>83</v>
      </c>
    </row>
    <row r="318" spans="1:13" x14ac:dyDescent="0.25">
      <c r="A318">
        <f t="shared" si="14"/>
        <v>6</v>
      </c>
      <c r="B318" t="s">
        <v>196</v>
      </c>
      <c r="C318" t="s">
        <v>46</v>
      </c>
      <c r="D318" t="str">
        <f t="shared" si="13"/>
        <v>MSFT | grossProfit</v>
      </c>
      <c r="E318">
        <v>60542000000</v>
      </c>
      <c r="F318">
        <v>58374000000</v>
      </c>
      <c r="G318">
        <v>62310000000</v>
      </c>
      <c r="H318">
        <v>72007000000</v>
      </c>
      <c r="I318">
        <v>82933000000</v>
      </c>
      <c r="J318">
        <v>96937000000</v>
      </c>
      <c r="K318">
        <v>115856000000</v>
      </c>
      <c r="L318">
        <v>135620000000</v>
      </c>
      <c r="M318">
        <v>146052000000</v>
      </c>
    </row>
    <row r="319" spans="1:13" x14ac:dyDescent="0.25">
      <c r="A319">
        <f t="shared" si="14"/>
        <v>6</v>
      </c>
      <c r="B319" t="str">
        <f t="shared" si="12"/>
        <v>MSFT</v>
      </c>
      <c r="C319" t="s">
        <v>47</v>
      </c>
      <c r="D319" t="str">
        <f t="shared" si="13"/>
        <v>MSFT | totalRevenue</v>
      </c>
      <c r="E319">
        <v>93580000000</v>
      </c>
      <c r="F319">
        <v>91154000000</v>
      </c>
      <c r="G319">
        <v>96571000000</v>
      </c>
      <c r="H319">
        <v>107222000000</v>
      </c>
      <c r="I319">
        <v>123495000000</v>
      </c>
      <c r="J319">
        <v>140503000000</v>
      </c>
      <c r="K319">
        <v>165936000000</v>
      </c>
      <c r="L319">
        <v>196109000000</v>
      </c>
      <c r="M319">
        <v>209747000000</v>
      </c>
    </row>
    <row r="320" spans="1:13" x14ac:dyDescent="0.25">
      <c r="A320">
        <f t="shared" si="14"/>
        <v>6</v>
      </c>
      <c r="B320" t="str">
        <f t="shared" si="12"/>
        <v>MSFT</v>
      </c>
      <c r="C320" t="s">
        <v>48</v>
      </c>
      <c r="D320" t="str">
        <f t="shared" si="13"/>
        <v>MSFT | costOfRevenue</v>
      </c>
      <c r="E320">
        <v>33038000000</v>
      </c>
      <c r="F320">
        <v>32780000000</v>
      </c>
      <c r="G320">
        <v>34261000000</v>
      </c>
      <c r="H320">
        <v>62776000000</v>
      </c>
      <c r="I320">
        <v>67908000000</v>
      </c>
      <c r="J320">
        <v>73159000000</v>
      </c>
      <c r="K320">
        <v>79977000000</v>
      </c>
      <c r="L320">
        <v>93355000000</v>
      </c>
      <c r="M320">
        <v>100049000000</v>
      </c>
    </row>
    <row r="321" spans="1:13" x14ac:dyDescent="0.25">
      <c r="A321">
        <f t="shared" si="14"/>
        <v>6</v>
      </c>
      <c r="B321" t="str">
        <f t="shared" si="12"/>
        <v>MSFT</v>
      </c>
      <c r="C321" t="s">
        <v>49</v>
      </c>
      <c r="D321" t="str">
        <f t="shared" si="13"/>
        <v>MSFT | costofGoodsAndServicesSold</v>
      </c>
      <c r="E321">
        <v>21410000000</v>
      </c>
      <c r="F321">
        <v>32780000000</v>
      </c>
      <c r="G321">
        <v>34261000000</v>
      </c>
      <c r="H321">
        <v>38353000000</v>
      </c>
      <c r="I321">
        <v>42910000000</v>
      </c>
      <c r="J321">
        <v>46078000000</v>
      </c>
      <c r="K321">
        <v>52232000000</v>
      </c>
      <c r="L321">
        <v>62650000000</v>
      </c>
      <c r="M321">
        <v>65863000000</v>
      </c>
    </row>
    <row r="322" spans="1:13" x14ac:dyDescent="0.25">
      <c r="A322">
        <f t="shared" si="14"/>
        <v>6</v>
      </c>
      <c r="B322" t="str">
        <f t="shared" si="12"/>
        <v>MSFT</v>
      </c>
      <c r="C322" t="s">
        <v>50</v>
      </c>
      <c r="D322" t="str">
        <f t="shared" si="13"/>
        <v>MSFT | operatingIncome</v>
      </c>
      <c r="E322">
        <v>18161000000</v>
      </c>
      <c r="F322">
        <v>26078000000</v>
      </c>
      <c r="G322">
        <v>29025000000</v>
      </c>
      <c r="H322">
        <v>35058000000</v>
      </c>
      <c r="I322">
        <v>42959000000</v>
      </c>
      <c r="J322">
        <v>52959000000</v>
      </c>
      <c r="K322">
        <v>69916000000</v>
      </c>
      <c r="L322">
        <v>83383000000</v>
      </c>
      <c r="M322">
        <v>88523000000</v>
      </c>
    </row>
    <row r="323" spans="1:13" x14ac:dyDescent="0.25">
      <c r="A323">
        <f t="shared" si="14"/>
        <v>6</v>
      </c>
      <c r="B323" t="str">
        <f t="shared" si="12"/>
        <v>MSFT</v>
      </c>
      <c r="C323" t="s">
        <v>51</v>
      </c>
      <c r="D323" t="str">
        <f t="shared" si="13"/>
        <v>MSFT | sellingGeneralAndAdministrative</v>
      </c>
      <c r="E323">
        <v>20324000000</v>
      </c>
      <c r="F323">
        <v>19260000000</v>
      </c>
      <c r="G323">
        <v>20020000000</v>
      </c>
      <c r="H323">
        <v>22223000000</v>
      </c>
      <c r="I323">
        <v>23098000000</v>
      </c>
      <c r="J323">
        <v>24709000000</v>
      </c>
      <c r="K323">
        <v>25224000000</v>
      </c>
      <c r="L323">
        <v>27725000000</v>
      </c>
      <c r="M323">
        <v>30334000000</v>
      </c>
    </row>
    <row r="324" spans="1:13" x14ac:dyDescent="0.25">
      <c r="A324">
        <f t="shared" si="14"/>
        <v>6</v>
      </c>
      <c r="B324" t="str">
        <f t="shared" si="12"/>
        <v>MSFT</v>
      </c>
      <c r="C324" t="s">
        <v>52</v>
      </c>
      <c r="D324" t="str">
        <f t="shared" si="13"/>
        <v>MSFT | researchAndDevelopment</v>
      </c>
      <c r="E324">
        <v>12046000000</v>
      </c>
      <c r="F324">
        <v>11988000000</v>
      </c>
      <c r="G324">
        <v>13037000000</v>
      </c>
      <c r="H324">
        <v>14726000000</v>
      </c>
      <c r="I324">
        <v>16876000000</v>
      </c>
      <c r="J324">
        <v>19269000000</v>
      </c>
      <c r="K324">
        <v>20716000000</v>
      </c>
      <c r="L324">
        <v>24512000000</v>
      </c>
      <c r="M324">
        <v>27195000000</v>
      </c>
    </row>
    <row r="325" spans="1:13" x14ac:dyDescent="0.25">
      <c r="A325">
        <f t="shared" si="14"/>
        <v>6</v>
      </c>
      <c r="B325" t="str">
        <f t="shared" si="12"/>
        <v>MSFT</v>
      </c>
      <c r="C325" t="s">
        <v>53</v>
      </c>
      <c r="D325" t="str">
        <f t="shared" si="13"/>
        <v>MSFT | operatingExpenses</v>
      </c>
      <c r="E325">
        <v>42381000000</v>
      </c>
      <c r="F325">
        <v>33357000000</v>
      </c>
      <c r="G325">
        <v>35063000000</v>
      </c>
      <c r="H325">
        <v>39149000000</v>
      </c>
      <c r="I325">
        <v>41874000000</v>
      </c>
      <c r="J325">
        <v>46350000000</v>
      </c>
      <c r="K325">
        <v>48461000000</v>
      </c>
      <c r="L325">
        <v>55217000000</v>
      </c>
      <c r="M325">
        <v>61381000000</v>
      </c>
    </row>
    <row r="326" spans="1:13" x14ac:dyDescent="0.25">
      <c r="A326">
        <f t="shared" si="14"/>
        <v>6</v>
      </c>
      <c r="B326" t="str">
        <f t="shared" si="12"/>
        <v>MSFT</v>
      </c>
      <c r="C326" t="s">
        <v>54</v>
      </c>
      <c r="D326" t="str">
        <f t="shared" si="13"/>
        <v>MSFT | investmentIncomeNet</v>
      </c>
      <c r="E326">
        <v>766000000</v>
      </c>
      <c r="F326">
        <v>903000000</v>
      </c>
      <c r="G326">
        <v>1387000000</v>
      </c>
      <c r="H326">
        <v>2214000000</v>
      </c>
      <c r="I326">
        <v>2762000000</v>
      </c>
      <c r="J326">
        <v>2680000000</v>
      </c>
      <c r="K326">
        <v>2131000000</v>
      </c>
      <c r="L326">
        <v>2094000000</v>
      </c>
      <c r="M326">
        <v>2994000000</v>
      </c>
    </row>
    <row r="327" spans="1:13" x14ac:dyDescent="0.25">
      <c r="A327">
        <f t="shared" si="14"/>
        <v>6</v>
      </c>
      <c r="B327" t="str">
        <f t="shared" si="12"/>
        <v>MSFT</v>
      </c>
      <c r="C327" t="s">
        <v>55</v>
      </c>
      <c r="D327" t="str">
        <f t="shared" si="13"/>
        <v>MSFT | netInterestIncome</v>
      </c>
      <c r="E327">
        <v>-781000000</v>
      </c>
      <c r="F327">
        <v>-1243000000</v>
      </c>
      <c r="G327">
        <v>-2222000000</v>
      </c>
      <c r="H327">
        <v>-2733000000</v>
      </c>
      <c r="I327">
        <v>-2686000000</v>
      </c>
      <c r="J327">
        <v>-2591000000</v>
      </c>
      <c r="K327">
        <v>-2346000000</v>
      </c>
      <c r="L327">
        <v>-2063000000</v>
      </c>
      <c r="M327">
        <v>-1968000000</v>
      </c>
    </row>
    <row r="328" spans="1:13" x14ac:dyDescent="0.25">
      <c r="A328">
        <f t="shared" si="14"/>
        <v>6</v>
      </c>
      <c r="B328" t="str">
        <f t="shared" ref="B328:B392" si="15">IF(C328="grossProfit",C327,B327)</f>
        <v>MSFT</v>
      </c>
      <c r="C328" t="s">
        <v>56</v>
      </c>
      <c r="D328" t="str">
        <f t="shared" si="13"/>
        <v>MSFT | interestIncome</v>
      </c>
      <c r="F328">
        <v>78000000</v>
      </c>
      <c r="G328">
        <v>1182000000</v>
      </c>
      <c r="H328">
        <v>1522000000</v>
      </c>
      <c r="I328">
        <v>812000000</v>
      </c>
      <c r="J328">
        <v>2680000000</v>
      </c>
      <c r="K328">
        <v>2131000000</v>
      </c>
      <c r="L328">
        <v>2094000000</v>
      </c>
      <c r="M328">
        <v>1041000000</v>
      </c>
    </row>
    <row r="329" spans="1:13" x14ac:dyDescent="0.25">
      <c r="A329">
        <f t="shared" si="14"/>
        <v>6</v>
      </c>
      <c r="B329" t="str">
        <f t="shared" si="15"/>
        <v>MSFT</v>
      </c>
      <c r="C329" t="s">
        <v>57</v>
      </c>
      <c r="D329" t="str">
        <f t="shared" ref="D329:D393" si="16">CONCATENATE(B329," | ",C329)</f>
        <v>MSFT | interestExpense</v>
      </c>
      <c r="E329">
        <v>781000000</v>
      </c>
      <c r="F329">
        <v>1243000000</v>
      </c>
      <c r="G329">
        <v>2222000000</v>
      </c>
      <c r="H329">
        <v>2733000000</v>
      </c>
      <c r="I329">
        <v>2686000000</v>
      </c>
      <c r="J329">
        <v>2591000000</v>
      </c>
      <c r="K329">
        <v>2346000000</v>
      </c>
      <c r="L329">
        <v>2063000000</v>
      </c>
      <c r="M329">
        <v>1968000000</v>
      </c>
    </row>
    <row r="330" spans="1:13" x14ac:dyDescent="0.25">
      <c r="A330">
        <f t="shared" ref="A330:A394" si="17">IF(B330=B329,A329,A329+1)</f>
        <v>6</v>
      </c>
      <c r="B330" t="str">
        <f t="shared" si="15"/>
        <v>MSFT</v>
      </c>
      <c r="C330" t="s">
        <v>58</v>
      </c>
      <c r="D330" t="str">
        <f t="shared" si="16"/>
        <v>MSFT | nonInterestIncome</v>
      </c>
      <c r="E330">
        <v>-88000000</v>
      </c>
      <c r="F330">
        <v>-564000000</v>
      </c>
      <c r="G330">
        <v>-674000000</v>
      </c>
      <c r="H330">
        <v>109955000000</v>
      </c>
      <c r="I330">
        <v>126181000000</v>
      </c>
      <c r="J330">
        <v>143094000000</v>
      </c>
      <c r="K330">
        <v>168282000000</v>
      </c>
      <c r="L330">
        <v>198172000000</v>
      </c>
      <c r="M330">
        <v>211715000000</v>
      </c>
    </row>
    <row r="331" spans="1:13" x14ac:dyDescent="0.25">
      <c r="A331">
        <f t="shared" si="17"/>
        <v>6</v>
      </c>
      <c r="B331" t="str">
        <f t="shared" si="15"/>
        <v>MSFT</v>
      </c>
      <c r="C331" t="s">
        <v>59</v>
      </c>
      <c r="D331" t="str">
        <f t="shared" si="16"/>
        <v>MSFT | otherNonOperatingIncome</v>
      </c>
      <c r="E331">
        <v>-267000000</v>
      </c>
      <c r="F331">
        <v>-195000000</v>
      </c>
      <c r="G331">
        <v>-251000000</v>
      </c>
      <c r="H331">
        <v>-59000000</v>
      </c>
      <c r="I331">
        <v>-57000000</v>
      </c>
      <c r="J331">
        <v>-40000000</v>
      </c>
      <c r="K331">
        <v>98000000</v>
      </c>
      <c r="L331">
        <v>-32000000</v>
      </c>
      <c r="M331">
        <v>-223000000</v>
      </c>
    </row>
    <row r="332" spans="1:13" x14ac:dyDescent="0.25">
      <c r="A332">
        <f t="shared" si="17"/>
        <v>6</v>
      </c>
      <c r="B332" t="str">
        <f t="shared" si="15"/>
        <v>MSFT</v>
      </c>
      <c r="C332" t="s">
        <v>60</v>
      </c>
      <c r="D332" t="str">
        <f t="shared" si="16"/>
        <v>MSFT | depreciation</v>
      </c>
      <c r="E332">
        <v>4100000000</v>
      </c>
      <c r="F332">
        <v>4900000000</v>
      </c>
      <c r="G332">
        <v>6100000000</v>
      </c>
      <c r="H332">
        <v>7700000000</v>
      </c>
      <c r="I332">
        <v>9700000000</v>
      </c>
      <c r="J332">
        <v>10700000000</v>
      </c>
      <c r="K332">
        <v>9300000000</v>
      </c>
      <c r="L332">
        <v>12600000000</v>
      </c>
      <c r="M332">
        <v>11000000000</v>
      </c>
    </row>
    <row r="333" spans="1:13" x14ac:dyDescent="0.25">
      <c r="A333">
        <f t="shared" si="17"/>
        <v>6</v>
      </c>
      <c r="B333" t="str">
        <f t="shared" si="15"/>
        <v>MSFT</v>
      </c>
      <c r="C333" t="s">
        <v>61</v>
      </c>
      <c r="D333" t="str">
        <f t="shared" si="16"/>
        <v>MSFT | depreciationAndAmortization</v>
      </c>
      <c r="E333">
        <v>1300000000</v>
      </c>
      <c r="F333">
        <v>978000000</v>
      </c>
      <c r="G333">
        <v>1700000000</v>
      </c>
      <c r="H333">
        <v>2200000000</v>
      </c>
      <c r="I333">
        <v>1900000000</v>
      </c>
      <c r="J333">
        <v>2211000000</v>
      </c>
      <c r="K333">
        <v>2521000000</v>
      </c>
      <c r="L333">
        <v>2980000000</v>
      </c>
      <c r="M333">
        <v>3852000000</v>
      </c>
    </row>
    <row r="334" spans="1:13" x14ac:dyDescent="0.25">
      <c r="A334">
        <f t="shared" si="17"/>
        <v>6</v>
      </c>
      <c r="B334" t="str">
        <f t="shared" si="15"/>
        <v>MSFT</v>
      </c>
      <c r="C334" t="s">
        <v>62</v>
      </c>
      <c r="D334" t="str">
        <f t="shared" si="16"/>
        <v>MSFT | incomeBeforeTax</v>
      </c>
      <c r="E334">
        <v>18507000000</v>
      </c>
      <c r="F334">
        <v>25639000000</v>
      </c>
      <c r="G334">
        <v>29901000000</v>
      </c>
      <c r="H334">
        <v>36474000000</v>
      </c>
      <c r="I334">
        <v>43688000000</v>
      </c>
      <c r="J334">
        <v>53036000000</v>
      </c>
      <c r="K334">
        <v>71102000000</v>
      </c>
      <c r="L334">
        <v>83716000000</v>
      </c>
      <c r="M334">
        <v>89311000000</v>
      </c>
    </row>
    <row r="335" spans="1:13" x14ac:dyDescent="0.25">
      <c r="A335">
        <f t="shared" si="17"/>
        <v>6</v>
      </c>
      <c r="B335" t="str">
        <f t="shared" si="15"/>
        <v>MSFT</v>
      </c>
      <c r="C335" t="s">
        <v>63</v>
      </c>
      <c r="D335" t="str">
        <f t="shared" si="16"/>
        <v>MSFT | incomeTaxExpense</v>
      </c>
      <c r="E335">
        <v>6314000000</v>
      </c>
      <c r="F335">
        <v>5100000000</v>
      </c>
      <c r="G335">
        <v>4412000000</v>
      </c>
      <c r="H335">
        <v>19903000000</v>
      </c>
      <c r="I335">
        <v>4448000000</v>
      </c>
      <c r="J335">
        <v>8755000000</v>
      </c>
      <c r="K335">
        <v>9831000000</v>
      </c>
      <c r="L335">
        <v>10978000000</v>
      </c>
      <c r="M335">
        <v>16950000000</v>
      </c>
    </row>
    <row r="336" spans="1:13" x14ac:dyDescent="0.25">
      <c r="A336">
        <f t="shared" si="17"/>
        <v>6</v>
      </c>
      <c r="B336" t="str">
        <f t="shared" si="15"/>
        <v>MSFT</v>
      </c>
      <c r="C336" t="s">
        <v>64</v>
      </c>
      <c r="D336" t="str">
        <f t="shared" si="16"/>
        <v>MSFT | interestAndDebtExpense</v>
      </c>
      <c r="E336">
        <v>781000000</v>
      </c>
      <c r="F336">
        <v>1243000000</v>
      </c>
      <c r="G336">
        <v>2222000000</v>
      </c>
      <c r="H336">
        <v>2733000000</v>
      </c>
      <c r="I336">
        <v>2686000000</v>
      </c>
      <c r="J336">
        <v>2591000000</v>
      </c>
      <c r="K336">
        <v>2346000000</v>
      </c>
      <c r="L336">
        <v>2063000000</v>
      </c>
      <c r="M336">
        <v>1968000000</v>
      </c>
    </row>
    <row r="337" spans="1:13" x14ac:dyDescent="0.25">
      <c r="A337">
        <f t="shared" si="17"/>
        <v>6</v>
      </c>
      <c r="B337" t="str">
        <f t="shared" si="15"/>
        <v>MSFT</v>
      </c>
      <c r="C337" t="s">
        <v>65</v>
      </c>
      <c r="D337" t="str">
        <f t="shared" si="16"/>
        <v>MSFT | netIncomeFromContinuingOperations</v>
      </c>
      <c r="E337">
        <v>12193000000</v>
      </c>
      <c r="F337">
        <v>16798000000</v>
      </c>
      <c r="G337">
        <v>21204000000</v>
      </c>
      <c r="H337">
        <v>16571000000</v>
      </c>
      <c r="I337">
        <v>39240000000</v>
      </c>
      <c r="J337">
        <v>44281000000</v>
      </c>
      <c r="K337">
        <v>61271000000</v>
      </c>
      <c r="L337">
        <v>72738000000</v>
      </c>
      <c r="M337">
        <v>72361000000</v>
      </c>
    </row>
    <row r="338" spans="1:13" x14ac:dyDescent="0.25">
      <c r="A338">
        <f t="shared" si="17"/>
        <v>6</v>
      </c>
      <c r="B338" t="str">
        <f t="shared" si="15"/>
        <v>MSFT</v>
      </c>
      <c r="C338" t="s">
        <v>66</v>
      </c>
      <c r="D338" t="str">
        <f t="shared" si="16"/>
        <v>MSFT | comprehensiveIncomeNetOfTax</v>
      </c>
      <c r="E338">
        <v>11007000000</v>
      </c>
      <c r="F338">
        <v>19811000000</v>
      </c>
      <c r="G338">
        <v>24322000000</v>
      </c>
      <c r="H338">
        <v>13715000000</v>
      </c>
      <c r="I338">
        <v>41154000000</v>
      </c>
      <c r="J338">
        <v>47807000000</v>
      </c>
      <c r="K338">
        <v>59897000000</v>
      </c>
      <c r="L338">
        <v>66238000000</v>
      </c>
      <c r="M338">
        <v>70696000000</v>
      </c>
    </row>
    <row r="339" spans="1:13" x14ac:dyDescent="0.25">
      <c r="A339">
        <f t="shared" si="17"/>
        <v>6</v>
      </c>
      <c r="B339" t="str">
        <f t="shared" si="15"/>
        <v>MSFT</v>
      </c>
      <c r="C339" t="s">
        <v>67</v>
      </c>
      <c r="D339" t="str">
        <f t="shared" si="16"/>
        <v>MSFT | ebit</v>
      </c>
      <c r="E339">
        <v>19288000000</v>
      </c>
      <c r="F339">
        <v>26882000000</v>
      </c>
      <c r="G339">
        <v>32123000000</v>
      </c>
      <c r="H339">
        <v>39207000000</v>
      </c>
      <c r="I339">
        <v>46374000000</v>
      </c>
      <c r="J339">
        <v>55627000000</v>
      </c>
      <c r="K339">
        <v>73448000000</v>
      </c>
      <c r="L339">
        <v>85779000000</v>
      </c>
      <c r="M339">
        <v>91279000000</v>
      </c>
    </row>
    <row r="340" spans="1:13" x14ac:dyDescent="0.25">
      <c r="A340">
        <f t="shared" si="17"/>
        <v>6</v>
      </c>
      <c r="B340" t="str">
        <f t="shared" si="15"/>
        <v>MSFT</v>
      </c>
      <c r="C340" t="s">
        <v>68</v>
      </c>
      <c r="D340" t="str">
        <f t="shared" si="16"/>
        <v>MSFT | ebitda</v>
      </c>
      <c r="E340">
        <v>20588000000</v>
      </c>
      <c r="F340">
        <v>27860000000</v>
      </c>
      <c r="G340">
        <v>33823000000</v>
      </c>
      <c r="H340">
        <v>41407000000</v>
      </c>
      <c r="I340">
        <v>48274000000</v>
      </c>
      <c r="J340">
        <v>57838000000</v>
      </c>
      <c r="K340">
        <v>75969000000</v>
      </c>
      <c r="L340">
        <v>88759000000</v>
      </c>
      <c r="M340">
        <v>95131000000</v>
      </c>
    </row>
    <row r="341" spans="1:13" x14ac:dyDescent="0.25">
      <c r="A341">
        <f t="shared" si="17"/>
        <v>6</v>
      </c>
      <c r="B341" t="str">
        <f t="shared" si="15"/>
        <v>MSFT</v>
      </c>
      <c r="C341" t="s">
        <v>69</v>
      </c>
      <c r="D341" t="str">
        <f t="shared" si="16"/>
        <v>MSFT | netIncome</v>
      </c>
      <c r="E341">
        <v>12193000000</v>
      </c>
      <c r="F341">
        <v>20539000000</v>
      </c>
      <c r="G341">
        <v>25489000000</v>
      </c>
      <c r="H341">
        <v>16571000000</v>
      </c>
      <c r="I341">
        <v>39240000000</v>
      </c>
      <c r="J341">
        <v>44281000000</v>
      </c>
      <c r="K341">
        <v>61271000000</v>
      </c>
      <c r="L341">
        <v>72738000000</v>
      </c>
      <c r="M341">
        <v>72361000000</v>
      </c>
    </row>
    <row r="342" spans="1:13" x14ac:dyDescent="0.25">
      <c r="A342">
        <f>IF(B342=B341,A341,A341+1)</f>
        <v>6</v>
      </c>
      <c r="B342" t="str">
        <f>IF(C342="grossProfit",C341,B341)</f>
        <v>MSFT</v>
      </c>
      <c r="C342" t="s">
        <v>144</v>
      </c>
      <c r="D342" t="str">
        <f t="shared" si="16"/>
        <v>MSFT | reportedEPS</v>
      </c>
    </row>
    <row r="343" spans="1:13" x14ac:dyDescent="0.25">
      <c r="A343">
        <f>IF(B343=B341,A341,A341+1)</f>
        <v>6</v>
      </c>
      <c r="B343" t="str">
        <f>IF(C343="grossProfit",C341,B341)</f>
        <v>MSFT</v>
      </c>
      <c r="C343" t="s">
        <v>92</v>
      </c>
      <c r="D343" t="str">
        <f t="shared" si="16"/>
        <v>MSFT | MSTF</v>
      </c>
      <c r="E343" t="s">
        <v>91</v>
      </c>
      <c r="F343" t="s">
        <v>90</v>
      </c>
      <c r="G343" t="s">
        <v>89</v>
      </c>
      <c r="H343" t="s">
        <v>88</v>
      </c>
      <c r="I343" t="s">
        <v>87</v>
      </c>
      <c r="J343" t="s">
        <v>86</v>
      </c>
      <c r="K343" t="s">
        <v>85</v>
      </c>
      <c r="L343" t="s">
        <v>84</v>
      </c>
      <c r="M343" t="s">
        <v>83</v>
      </c>
    </row>
    <row r="344" spans="1:13" x14ac:dyDescent="0.25">
      <c r="A344">
        <f t="shared" si="17"/>
        <v>6</v>
      </c>
      <c r="B344" t="str">
        <f t="shared" si="15"/>
        <v>MSFT</v>
      </c>
      <c r="C344" t="s">
        <v>35</v>
      </c>
      <c r="D344" t="str">
        <f t="shared" si="16"/>
        <v>MSFT | totalAssets</v>
      </c>
      <c r="E344">
        <v>174472000000</v>
      </c>
      <c r="F344">
        <v>193468000000</v>
      </c>
      <c r="G344">
        <v>250312000000</v>
      </c>
      <c r="H344">
        <v>258848000000</v>
      </c>
      <c r="I344">
        <v>286556000000</v>
      </c>
      <c r="J344">
        <v>301311000000</v>
      </c>
      <c r="K344">
        <v>333779000000</v>
      </c>
      <c r="L344">
        <v>364840000000</v>
      </c>
      <c r="M344">
        <v>411976000000</v>
      </c>
    </row>
    <row r="345" spans="1:13" x14ac:dyDescent="0.25">
      <c r="A345">
        <f t="shared" si="17"/>
        <v>6</v>
      </c>
      <c r="B345" t="str">
        <f t="shared" si="15"/>
        <v>MSFT</v>
      </c>
      <c r="C345" t="s">
        <v>34</v>
      </c>
      <c r="D345" t="str">
        <f t="shared" si="16"/>
        <v>MSFT | totalCurrentAssets</v>
      </c>
      <c r="E345">
        <v>122797000000</v>
      </c>
      <c r="F345">
        <v>139660000000</v>
      </c>
      <c r="G345">
        <v>162696000000</v>
      </c>
      <c r="H345">
        <v>169662000000</v>
      </c>
      <c r="I345">
        <v>175552000000</v>
      </c>
      <c r="J345">
        <v>181915000000</v>
      </c>
      <c r="K345">
        <v>184406000000</v>
      </c>
      <c r="L345">
        <v>169684000000</v>
      </c>
      <c r="M345">
        <v>184257000000</v>
      </c>
    </row>
    <row r="346" spans="1:13" x14ac:dyDescent="0.25">
      <c r="A346">
        <f t="shared" si="17"/>
        <v>6</v>
      </c>
      <c r="B346" t="str">
        <f t="shared" si="15"/>
        <v>MSFT</v>
      </c>
      <c r="C346" t="s">
        <v>33</v>
      </c>
      <c r="D346" t="str">
        <f t="shared" si="16"/>
        <v>MSFT | cashAndCashEquivalentsAtCarryingValue</v>
      </c>
      <c r="E346">
        <v>5595000000</v>
      </c>
      <c r="F346">
        <v>6510000000</v>
      </c>
      <c r="G346">
        <v>7663000000</v>
      </c>
      <c r="H346">
        <v>11946000000</v>
      </c>
      <c r="I346">
        <v>11356000000</v>
      </c>
      <c r="J346">
        <v>13576000000</v>
      </c>
      <c r="K346">
        <v>14224000000</v>
      </c>
      <c r="L346">
        <v>13931000000</v>
      </c>
      <c r="M346">
        <v>34704000000</v>
      </c>
    </row>
    <row r="347" spans="1:13" x14ac:dyDescent="0.25">
      <c r="A347">
        <f t="shared" si="17"/>
        <v>6</v>
      </c>
      <c r="B347" t="str">
        <f t="shared" si="15"/>
        <v>MSFT</v>
      </c>
      <c r="C347" t="s">
        <v>32</v>
      </c>
      <c r="D347" t="str">
        <f t="shared" si="16"/>
        <v>MSFT | cashAndShortTermInvestments</v>
      </c>
      <c r="E347">
        <v>96526000000</v>
      </c>
      <c r="F347">
        <v>113240000000</v>
      </c>
      <c r="G347">
        <v>132981000000</v>
      </c>
      <c r="H347">
        <v>133768000000</v>
      </c>
      <c r="I347">
        <v>133819000000</v>
      </c>
      <c r="J347">
        <v>136527000000</v>
      </c>
      <c r="K347">
        <v>130334000000</v>
      </c>
      <c r="L347">
        <v>104757000000</v>
      </c>
      <c r="M347">
        <v>111262000000</v>
      </c>
    </row>
    <row r="348" spans="1:13" x14ac:dyDescent="0.25">
      <c r="A348">
        <f t="shared" si="17"/>
        <v>6</v>
      </c>
      <c r="B348" t="str">
        <f t="shared" si="15"/>
        <v>MSFT</v>
      </c>
      <c r="C348" t="s">
        <v>31</v>
      </c>
      <c r="D348" t="str">
        <f t="shared" si="16"/>
        <v>MSFT | inventory</v>
      </c>
      <c r="E348">
        <v>2902000000</v>
      </c>
      <c r="F348">
        <v>2251000000</v>
      </c>
      <c r="G348">
        <v>2181000000</v>
      </c>
      <c r="H348">
        <v>2662000000</v>
      </c>
      <c r="I348">
        <v>2063000000</v>
      </c>
      <c r="J348">
        <v>1895000000</v>
      </c>
      <c r="K348">
        <v>2636000000</v>
      </c>
      <c r="L348">
        <v>3742000000</v>
      </c>
      <c r="M348">
        <v>2500000000</v>
      </c>
    </row>
    <row r="349" spans="1:13" x14ac:dyDescent="0.25">
      <c r="A349">
        <f t="shared" si="17"/>
        <v>6</v>
      </c>
      <c r="B349" t="str">
        <f t="shared" si="15"/>
        <v>MSFT</v>
      </c>
      <c r="C349" t="s">
        <v>30</v>
      </c>
      <c r="D349" t="str">
        <f t="shared" si="16"/>
        <v>MSFT | currentNetReceivables</v>
      </c>
      <c r="E349">
        <v>17908000000</v>
      </c>
      <c r="F349">
        <v>18277000000</v>
      </c>
      <c r="G349">
        <v>19792000000</v>
      </c>
      <c r="H349">
        <v>26481000000</v>
      </c>
      <c r="I349">
        <v>29524000000</v>
      </c>
      <c r="J349">
        <v>32011000000</v>
      </c>
      <c r="K349">
        <v>39008000000</v>
      </c>
      <c r="L349">
        <v>45261000000</v>
      </c>
      <c r="M349">
        <v>48688000000</v>
      </c>
    </row>
    <row r="350" spans="1:13" x14ac:dyDescent="0.25">
      <c r="A350">
        <f t="shared" si="17"/>
        <v>6</v>
      </c>
      <c r="B350" t="str">
        <f t="shared" si="15"/>
        <v>MSFT</v>
      </c>
      <c r="C350" t="s">
        <v>29</v>
      </c>
      <c r="D350" t="str">
        <f t="shared" si="16"/>
        <v>MSFT | totalNonCurrentAssets</v>
      </c>
      <c r="E350">
        <v>48676000000</v>
      </c>
      <c r="F350">
        <v>54034000000</v>
      </c>
      <c r="G350">
        <v>81235000000</v>
      </c>
      <c r="H350">
        <v>84300000000</v>
      </c>
      <c r="I350">
        <v>105825000000</v>
      </c>
      <c r="J350">
        <v>122096000000</v>
      </c>
      <c r="K350">
        <v>152773000000</v>
      </c>
      <c r="L350">
        <v>198956000000</v>
      </c>
      <c r="M350">
        <v>232219000000</v>
      </c>
    </row>
    <row r="351" spans="1:13" x14ac:dyDescent="0.25">
      <c r="A351">
        <f t="shared" si="17"/>
        <v>6</v>
      </c>
      <c r="B351" t="str">
        <f t="shared" si="15"/>
        <v>MSFT</v>
      </c>
      <c r="C351" t="s">
        <v>28</v>
      </c>
      <c r="D351" t="str">
        <f t="shared" si="16"/>
        <v>MSFT | propertyPlantEquipment</v>
      </c>
      <c r="E351">
        <v>14731000000</v>
      </c>
      <c r="F351">
        <v>18356000000</v>
      </c>
      <c r="G351">
        <v>23734000000</v>
      </c>
      <c r="H351">
        <v>29460000000</v>
      </c>
      <c r="I351">
        <v>36477000000</v>
      </c>
      <c r="J351">
        <v>44151000000</v>
      </c>
      <c r="K351">
        <v>59715000000</v>
      </c>
      <c r="L351">
        <v>74398000000</v>
      </c>
      <c r="M351">
        <v>95641000000</v>
      </c>
    </row>
    <row r="352" spans="1:13" x14ac:dyDescent="0.25">
      <c r="A352">
        <f t="shared" si="17"/>
        <v>6</v>
      </c>
      <c r="B352" t="str">
        <f t="shared" si="15"/>
        <v>MSFT</v>
      </c>
      <c r="C352" t="s">
        <v>27</v>
      </c>
      <c r="D352" t="str">
        <f t="shared" si="16"/>
        <v>MSFT | accumulatedDepreciationAmortizationPPE</v>
      </c>
      <c r="E352">
        <v>17606000000</v>
      </c>
      <c r="F352">
        <v>19800000000</v>
      </c>
      <c r="G352">
        <v>24179000000</v>
      </c>
      <c r="H352">
        <v>29223000000</v>
      </c>
      <c r="I352">
        <v>35330000000</v>
      </c>
      <c r="J352">
        <v>43197000000</v>
      </c>
      <c r="K352">
        <v>51351000000</v>
      </c>
      <c r="L352">
        <v>59660000000</v>
      </c>
      <c r="M352">
        <v>68251000000</v>
      </c>
    </row>
    <row r="353" spans="1:13" x14ac:dyDescent="0.25">
      <c r="A353">
        <f t="shared" si="17"/>
        <v>6</v>
      </c>
      <c r="B353" t="str">
        <f t="shared" si="15"/>
        <v>MSFT</v>
      </c>
      <c r="C353" t="s">
        <v>26</v>
      </c>
      <c r="D353" t="str">
        <f t="shared" si="16"/>
        <v>MSFT | intangibleAssets</v>
      </c>
      <c r="E353">
        <v>21774000000</v>
      </c>
      <c r="F353">
        <v>21605000000</v>
      </c>
      <c r="G353">
        <v>45228000000</v>
      </c>
      <c r="H353">
        <v>43736000000</v>
      </c>
      <c r="I353">
        <v>49776000000</v>
      </c>
      <c r="J353">
        <v>50389000000</v>
      </c>
      <c r="K353">
        <v>57511000000</v>
      </c>
      <c r="L353">
        <v>78822000000</v>
      </c>
      <c r="M353">
        <v>77252000000</v>
      </c>
    </row>
    <row r="354" spans="1:13" x14ac:dyDescent="0.25">
      <c r="A354">
        <f t="shared" si="17"/>
        <v>6</v>
      </c>
      <c r="B354" t="str">
        <f t="shared" si="15"/>
        <v>MSFT</v>
      </c>
      <c r="C354" t="s">
        <v>25</v>
      </c>
      <c r="D354" t="str">
        <f t="shared" si="16"/>
        <v>MSFT | intangibleAssetsExcludingGoodwill</v>
      </c>
      <c r="E354">
        <v>4835000000</v>
      </c>
      <c r="F354">
        <v>3733000000</v>
      </c>
      <c r="G354">
        <v>10106000000</v>
      </c>
      <c r="H354">
        <v>8053000000</v>
      </c>
      <c r="I354">
        <v>7750000000</v>
      </c>
      <c r="J354">
        <v>7038000000</v>
      </c>
      <c r="K354">
        <v>7800000000</v>
      </c>
      <c r="L354">
        <v>11298000000</v>
      </c>
      <c r="M354">
        <v>9366000000</v>
      </c>
    </row>
    <row r="355" spans="1:13" x14ac:dyDescent="0.25">
      <c r="A355">
        <f t="shared" si="17"/>
        <v>6</v>
      </c>
      <c r="B355" t="str">
        <f t="shared" si="15"/>
        <v>MSFT</v>
      </c>
      <c r="C355" t="s">
        <v>24</v>
      </c>
      <c r="D355" t="str">
        <f t="shared" si="16"/>
        <v>MSFT | goodwill</v>
      </c>
      <c r="E355">
        <v>16939000000</v>
      </c>
      <c r="F355">
        <v>17872000000</v>
      </c>
      <c r="G355">
        <v>35122000000</v>
      </c>
      <c r="H355">
        <v>35683000000</v>
      </c>
      <c r="I355">
        <v>42026000000</v>
      </c>
      <c r="J355">
        <v>43351000000</v>
      </c>
      <c r="K355">
        <v>49711000000</v>
      </c>
      <c r="L355">
        <v>67524000000</v>
      </c>
      <c r="M355">
        <v>67886000000</v>
      </c>
    </row>
    <row r="356" spans="1:13" x14ac:dyDescent="0.25">
      <c r="A356">
        <f t="shared" si="17"/>
        <v>6</v>
      </c>
      <c r="B356" t="str">
        <f t="shared" si="15"/>
        <v>MSFT</v>
      </c>
      <c r="C356" t="s">
        <v>23</v>
      </c>
      <c r="D356" t="str">
        <f t="shared" si="16"/>
        <v>MSFT | investments</v>
      </c>
      <c r="E356">
        <v>108579000000</v>
      </c>
      <c r="F356">
        <v>123646000000</v>
      </c>
      <c r="G356">
        <v>139004000000</v>
      </c>
      <c r="H356">
        <v>129579000000</v>
      </c>
      <c r="I356">
        <v>129789000000</v>
      </c>
      <c r="J356">
        <v>130044000000</v>
      </c>
      <c r="K356">
        <v>122266000000</v>
      </c>
      <c r="L356">
        <v>95583000000</v>
      </c>
      <c r="M356">
        <v>95599000000</v>
      </c>
    </row>
    <row r="357" spans="1:13" x14ac:dyDescent="0.25">
      <c r="A357">
        <f t="shared" si="17"/>
        <v>6</v>
      </c>
      <c r="B357" t="str">
        <f t="shared" si="15"/>
        <v>MSFT</v>
      </c>
      <c r="C357" t="s">
        <v>22</v>
      </c>
      <c r="D357" t="str">
        <f t="shared" si="16"/>
        <v>MSFT | longTermInvestments</v>
      </c>
      <c r="E357">
        <v>12053000000</v>
      </c>
      <c r="F357">
        <v>10431000000</v>
      </c>
      <c r="G357">
        <v>6023000000</v>
      </c>
      <c r="H357">
        <v>1862000000</v>
      </c>
      <c r="I357">
        <v>2649000000</v>
      </c>
      <c r="J357">
        <v>2965000000</v>
      </c>
      <c r="K357">
        <v>5984000000</v>
      </c>
      <c r="L357">
        <v>6891000000</v>
      </c>
      <c r="M357">
        <v>9879000000</v>
      </c>
    </row>
    <row r="358" spans="1:13" x14ac:dyDescent="0.25">
      <c r="A358">
        <f t="shared" si="17"/>
        <v>6</v>
      </c>
      <c r="B358" t="str">
        <f t="shared" si="15"/>
        <v>MSFT</v>
      </c>
      <c r="C358" t="s">
        <v>21</v>
      </c>
      <c r="D358" t="str">
        <f t="shared" si="16"/>
        <v>MSFT | shortTermInvestments</v>
      </c>
      <c r="E358">
        <v>90931000000</v>
      </c>
      <c r="F358">
        <v>106730000000</v>
      </c>
      <c r="G358">
        <v>125318000000</v>
      </c>
      <c r="H358">
        <v>121822000000</v>
      </c>
      <c r="I358">
        <v>122463000000</v>
      </c>
      <c r="J358">
        <v>122951000000</v>
      </c>
      <c r="K358">
        <v>116110000000</v>
      </c>
      <c r="L358">
        <v>90826000000</v>
      </c>
      <c r="M358">
        <v>76558000000</v>
      </c>
    </row>
    <row r="359" spans="1:13" x14ac:dyDescent="0.25">
      <c r="A359">
        <f t="shared" si="17"/>
        <v>6</v>
      </c>
      <c r="B359" t="str">
        <f t="shared" si="15"/>
        <v>MSFT</v>
      </c>
      <c r="C359" t="s">
        <v>20</v>
      </c>
      <c r="D359" t="str">
        <f t="shared" si="16"/>
        <v>MSFT | otherCurrentAssets</v>
      </c>
      <c r="E359">
        <v>5461000000</v>
      </c>
      <c r="F359">
        <v>5892000000</v>
      </c>
      <c r="G359">
        <v>5103000000</v>
      </c>
      <c r="H359">
        <v>6751000000</v>
      </c>
      <c r="I359">
        <v>10146000000</v>
      </c>
      <c r="J359">
        <v>11482000000</v>
      </c>
      <c r="K359">
        <v>13393000000</v>
      </c>
      <c r="L359">
        <v>16924000000</v>
      </c>
      <c r="M359">
        <v>21807000000</v>
      </c>
    </row>
    <row r="360" spans="1:13" x14ac:dyDescent="0.25">
      <c r="A360">
        <f t="shared" si="17"/>
        <v>6</v>
      </c>
      <c r="B360" t="str">
        <f t="shared" si="15"/>
        <v>MSFT</v>
      </c>
      <c r="C360" t="s">
        <v>19</v>
      </c>
      <c r="D360" t="str">
        <f t="shared" si="16"/>
        <v>MSFT | otherNonCurrentAssets</v>
      </c>
      <c r="E360">
        <v>3117000000</v>
      </c>
      <c r="F360">
        <v>3416000000</v>
      </c>
      <c r="G360">
        <v>6076000000</v>
      </c>
      <c r="H360">
        <v>7442000000</v>
      </c>
      <c r="I360">
        <v>14723000000</v>
      </c>
      <c r="J360">
        <v>13138000000</v>
      </c>
      <c r="K360">
        <v>15075000000</v>
      </c>
      <c r="L360">
        <v>21897000000</v>
      </c>
      <c r="M360">
        <v>30601000000</v>
      </c>
    </row>
    <row r="361" spans="1:13" x14ac:dyDescent="0.25">
      <c r="A361">
        <f t="shared" si="17"/>
        <v>6</v>
      </c>
      <c r="B361" t="str">
        <f t="shared" si="15"/>
        <v>MSFT</v>
      </c>
      <c r="C361" t="s">
        <v>18</v>
      </c>
      <c r="D361" t="str">
        <f t="shared" si="16"/>
        <v>MSFT | totalLiabilities</v>
      </c>
      <c r="E361">
        <v>94389000000</v>
      </c>
      <c r="F361">
        <v>121471000000</v>
      </c>
      <c r="G361">
        <v>162601000000</v>
      </c>
      <c r="H361">
        <v>176130000000</v>
      </c>
      <c r="I361">
        <v>184226000000</v>
      </c>
      <c r="J361">
        <v>183007000000</v>
      </c>
      <c r="K361">
        <v>191791000000</v>
      </c>
      <c r="L361">
        <v>198298000000</v>
      </c>
      <c r="M361">
        <v>205753000000</v>
      </c>
    </row>
    <row r="362" spans="1:13" x14ac:dyDescent="0.25">
      <c r="A362">
        <f t="shared" si="17"/>
        <v>6</v>
      </c>
      <c r="B362" t="str">
        <f t="shared" si="15"/>
        <v>MSFT</v>
      </c>
      <c r="C362" t="s">
        <v>17</v>
      </c>
      <c r="D362" t="str">
        <f t="shared" si="16"/>
        <v>MSFT | totalCurrentLiabilities</v>
      </c>
      <c r="E362">
        <v>49647000000</v>
      </c>
      <c r="F362">
        <v>59357000000</v>
      </c>
      <c r="G362">
        <v>55745000000</v>
      </c>
      <c r="H362">
        <v>58488000000</v>
      </c>
      <c r="I362">
        <v>69420000000</v>
      </c>
      <c r="J362">
        <v>72310000000</v>
      </c>
      <c r="K362">
        <v>88657000000</v>
      </c>
      <c r="L362">
        <v>95082000000</v>
      </c>
      <c r="M362">
        <v>104149000000</v>
      </c>
    </row>
    <row r="363" spans="1:13" x14ac:dyDescent="0.25">
      <c r="A363">
        <f t="shared" si="17"/>
        <v>6</v>
      </c>
      <c r="B363" t="str">
        <f t="shared" si="15"/>
        <v>MSFT</v>
      </c>
      <c r="C363" t="s">
        <v>16</v>
      </c>
      <c r="D363" t="str">
        <f t="shared" si="16"/>
        <v>MSFT | currentAccountsPayable</v>
      </c>
      <c r="E363">
        <v>6591000000</v>
      </c>
      <c r="F363">
        <v>6898000000</v>
      </c>
      <c r="G363">
        <v>7390000000</v>
      </c>
      <c r="H363">
        <v>8617000000</v>
      </c>
      <c r="I363">
        <v>9382000000</v>
      </c>
      <c r="J363">
        <v>12530000000</v>
      </c>
      <c r="K363">
        <v>15163000000</v>
      </c>
      <c r="L363">
        <v>19000000000</v>
      </c>
      <c r="M363">
        <v>18095000000</v>
      </c>
    </row>
    <row r="364" spans="1:13" x14ac:dyDescent="0.25">
      <c r="A364">
        <f t="shared" si="17"/>
        <v>6</v>
      </c>
      <c r="B364" t="str">
        <f t="shared" si="15"/>
        <v>MSFT</v>
      </c>
      <c r="C364" t="s">
        <v>15</v>
      </c>
      <c r="D364" t="str">
        <f t="shared" si="16"/>
        <v>MSFT | deferredRevenue</v>
      </c>
      <c r="E364">
        <v>25318000000</v>
      </c>
      <c r="G364">
        <v>26656000000</v>
      </c>
      <c r="I364">
        <v>74412000000</v>
      </c>
      <c r="J364">
        <v>78360000000</v>
      </c>
      <c r="K364">
        <v>88282000000</v>
      </c>
      <c r="L364">
        <v>96816000000</v>
      </c>
      <c r="M364">
        <v>107626000000</v>
      </c>
    </row>
    <row r="365" spans="1:13" x14ac:dyDescent="0.25">
      <c r="A365">
        <f t="shared" si="17"/>
        <v>6</v>
      </c>
      <c r="B365" t="str">
        <f t="shared" si="15"/>
        <v>MSFT</v>
      </c>
      <c r="C365" t="s">
        <v>14</v>
      </c>
      <c r="D365" t="str">
        <f t="shared" si="16"/>
        <v>MSFT | currentDebt</v>
      </c>
      <c r="E365">
        <v>7484000000</v>
      </c>
      <c r="F365">
        <v>12904000000</v>
      </c>
      <c r="G365">
        <v>10121000000</v>
      </c>
      <c r="H365">
        <v>3998000000</v>
      </c>
      <c r="I365">
        <v>5516000000</v>
      </c>
      <c r="J365">
        <v>3749000000</v>
      </c>
      <c r="K365">
        <v>8072000000</v>
      </c>
      <c r="L365">
        <v>2749000000</v>
      </c>
      <c r="M365">
        <v>5247000000</v>
      </c>
    </row>
    <row r="366" spans="1:13" x14ac:dyDescent="0.25">
      <c r="A366">
        <f t="shared" si="17"/>
        <v>6</v>
      </c>
      <c r="B366" t="str">
        <f t="shared" si="15"/>
        <v>MSFT</v>
      </c>
      <c r="C366" t="s">
        <v>13</v>
      </c>
      <c r="D366" t="str">
        <f t="shared" si="16"/>
        <v>MSFT | shortTermDebt</v>
      </c>
      <c r="E366">
        <v>4985000000</v>
      </c>
      <c r="F366">
        <v>12904000000</v>
      </c>
      <c r="G366">
        <v>9072000000</v>
      </c>
      <c r="H366">
        <v>0</v>
      </c>
      <c r="I366">
        <v>0</v>
      </c>
      <c r="J366">
        <v>3749000000</v>
      </c>
      <c r="K366">
        <v>8072000000</v>
      </c>
      <c r="L366">
        <v>2749000000</v>
      </c>
      <c r="M366">
        <v>0</v>
      </c>
    </row>
    <row r="367" spans="1:13" x14ac:dyDescent="0.25">
      <c r="A367">
        <f t="shared" si="17"/>
        <v>6</v>
      </c>
      <c r="B367" t="str">
        <f t="shared" si="15"/>
        <v>MSFT</v>
      </c>
      <c r="C367" t="s">
        <v>12</v>
      </c>
      <c r="D367" t="str">
        <f t="shared" si="16"/>
        <v>MSFT | totalNonCurrentLiabilities</v>
      </c>
      <c r="E367">
        <v>59826000000</v>
      </c>
      <c r="F367">
        <v>74140000000</v>
      </c>
      <c r="G367">
        <v>117665000000</v>
      </c>
      <c r="H367">
        <v>112074000000</v>
      </c>
      <c r="I367">
        <v>108618000000</v>
      </c>
      <c r="J367">
        <v>110697000000</v>
      </c>
      <c r="K367">
        <v>103134000000</v>
      </c>
      <c r="L367">
        <v>103216000000</v>
      </c>
      <c r="M367">
        <v>101604000000</v>
      </c>
    </row>
    <row r="368" spans="1:13" x14ac:dyDescent="0.25">
      <c r="A368">
        <f t="shared" si="17"/>
        <v>6</v>
      </c>
      <c r="B368" t="str">
        <f t="shared" si="15"/>
        <v>MSFT</v>
      </c>
      <c r="C368" t="s">
        <v>11</v>
      </c>
      <c r="D368" t="str">
        <f t="shared" si="16"/>
        <v>MSFT | capitalLeaseObligations</v>
      </c>
      <c r="H368">
        <v>5568000000</v>
      </c>
      <c r="I368">
        <v>6188000000</v>
      </c>
      <c r="J368">
        <v>7671000000</v>
      </c>
      <c r="K368">
        <v>9629000000</v>
      </c>
      <c r="L368">
        <v>11489000000</v>
      </c>
      <c r="M368">
        <v>12728000000</v>
      </c>
    </row>
    <row r="369" spans="1:13" x14ac:dyDescent="0.25">
      <c r="A369">
        <f t="shared" si="17"/>
        <v>6</v>
      </c>
      <c r="B369" t="str">
        <f t="shared" si="15"/>
        <v>MSFT</v>
      </c>
      <c r="C369" t="s">
        <v>10</v>
      </c>
      <c r="D369" t="str">
        <f t="shared" si="16"/>
        <v>MSFT | longTermDebt</v>
      </c>
      <c r="E369">
        <v>30300000000</v>
      </c>
      <c r="F369">
        <v>40600000000</v>
      </c>
      <c r="G369">
        <v>77100000000</v>
      </c>
      <c r="H369">
        <v>76200000000</v>
      </c>
      <c r="I369">
        <v>72178000000</v>
      </c>
      <c r="J369">
        <v>63327000000</v>
      </c>
      <c r="K369">
        <v>58146000000</v>
      </c>
      <c r="L369">
        <v>49781000000</v>
      </c>
      <c r="M369">
        <v>47237000000</v>
      </c>
    </row>
    <row r="370" spans="1:13" x14ac:dyDescent="0.25">
      <c r="A370">
        <f t="shared" si="17"/>
        <v>6</v>
      </c>
      <c r="B370" t="str">
        <f t="shared" si="15"/>
        <v>MSFT</v>
      </c>
      <c r="C370" t="s">
        <v>9</v>
      </c>
      <c r="D370" t="str">
        <f t="shared" si="16"/>
        <v>MSFT | currentLongTermDebt</v>
      </c>
      <c r="E370">
        <v>2499000000</v>
      </c>
      <c r="F370">
        <v>0</v>
      </c>
      <c r="G370">
        <v>1049000000</v>
      </c>
      <c r="H370">
        <v>3998000000</v>
      </c>
      <c r="I370">
        <v>5516000000</v>
      </c>
      <c r="J370">
        <v>3749000000</v>
      </c>
      <c r="K370">
        <v>8072000000</v>
      </c>
      <c r="L370">
        <v>2749000000</v>
      </c>
      <c r="M370">
        <v>5247000000</v>
      </c>
    </row>
    <row r="371" spans="1:13" x14ac:dyDescent="0.25">
      <c r="A371">
        <f t="shared" si="17"/>
        <v>6</v>
      </c>
      <c r="B371" t="str">
        <f t="shared" si="15"/>
        <v>MSFT</v>
      </c>
      <c r="C371" t="s">
        <v>8</v>
      </c>
      <c r="D371" t="str">
        <f t="shared" si="16"/>
        <v>MSFT | longTermDebtNoncurrent</v>
      </c>
      <c r="E371">
        <v>27808000000</v>
      </c>
      <c r="F371">
        <v>40557000000</v>
      </c>
      <c r="G371">
        <v>76073000000</v>
      </c>
      <c r="H371">
        <v>72242000000</v>
      </c>
      <c r="I371">
        <v>66662000000</v>
      </c>
      <c r="J371">
        <v>59578000000</v>
      </c>
      <c r="K371">
        <v>50074000000</v>
      </c>
      <c r="L371">
        <v>47032000000</v>
      </c>
      <c r="M371">
        <v>41990000000</v>
      </c>
    </row>
    <row r="372" spans="1:13" x14ac:dyDescent="0.25">
      <c r="A372">
        <f t="shared" si="17"/>
        <v>6</v>
      </c>
      <c r="B372" t="str">
        <f t="shared" si="15"/>
        <v>MSFT</v>
      </c>
      <c r="C372" t="s">
        <v>7</v>
      </c>
      <c r="D372" t="str">
        <f t="shared" si="16"/>
        <v>MSFT | shortLongTermDebtTotal</v>
      </c>
      <c r="E372">
        <v>35285000000</v>
      </c>
      <c r="F372">
        <v>53504000000</v>
      </c>
      <c r="G372">
        <v>86172000000</v>
      </c>
      <c r="H372">
        <v>76200000000</v>
      </c>
      <c r="I372">
        <v>72200000000</v>
      </c>
      <c r="J372">
        <v>63327000000</v>
      </c>
      <c r="K372">
        <v>58146000000</v>
      </c>
      <c r="L372">
        <v>49781000000</v>
      </c>
      <c r="M372">
        <v>47237000000</v>
      </c>
    </row>
    <row r="373" spans="1:13" x14ac:dyDescent="0.25">
      <c r="A373">
        <f t="shared" si="17"/>
        <v>6</v>
      </c>
      <c r="B373" t="str">
        <f t="shared" si="15"/>
        <v>MSFT</v>
      </c>
      <c r="C373" t="s">
        <v>6</v>
      </c>
      <c r="D373" t="str">
        <f t="shared" si="16"/>
        <v>MSFT | otherCurrentLiabilities</v>
      </c>
      <c r="E373">
        <v>6555000000</v>
      </c>
      <c r="F373">
        <v>5949000000</v>
      </c>
      <c r="G373">
        <v>7684000000</v>
      </c>
      <c r="H373">
        <v>8744000000</v>
      </c>
      <c r="I373">
        <v>9351000000</v>
      </c>
      <c r="J373">
        <v>10027000000</v>
      </c>
      <c r="K373">
        <v>11666000000</v>
      </c>
      <c r="L373">
        <v>13067000000</v>
      </c>
      <c r="M373">
        <v>14745000000</v>
      </c>
    </row>
    <row r="374" spans="1:13" x14ac:dyDescent="0.25">
      <c r="A374">
        <f t="shared" si="17"/>
        <v>6</v>
      </c>
      <c r="B374" t="str">
        <f t="shared" si="15"/>
        <v>MSFT</v>
      </c>
      <c r="C374" t="s">
        <v>5</v>
      </c>
      <c r="D374" t="str">
        <f t="shared" si="16"/>
        <v>MSFT | otherNonCurrentLiabilities</v>
      </c>
      <c r="E374">
        <v>13544000000</v>
      </c>
      <c r="F374">
        <v>13640000000</v>
      </c>
      <c r="G374">
        <v>3549000000</v>
      </c>
      <c r="H374">
        <v>5211000000</v>
      </c>
      <c r="I374">
        <v>7581000000</v>
      </c>
      <c r="J374">
        <v>10632000000</v>
      </c>
      <c r="K374">
        <v>13427000000</v>
      </c>
      <c r="L374">
        <v>15526000000</v>
      </c>
      <c r="M374">
        <v>17981000000</v>
      </c>
    </row>
    <row r="375" spans="1:13" x14ac:dyDescent="0.25">
      <c r="A375">
        <f t="shared" si="17"/>
        <v>6</v>
      </c>
      <c r="B375" t="str">
        <f t="shared" si="15"/>
        <v>MSFT</v>
      </c>
      <c r="C375" t="s">
        <v>4</v>
      </c>
      <c r="D375" t="str">
        <f t="shared" si="16"/>
        <v>MSFT | totalShareholderEquity</v>
      </c>
      <c r="E375">
        <v>80083000000</v>
      </c>
      <c r="F375">
        <v>83090000000</v>
      </c>
      <c r="G375">
        <v>87711000000</v>
      </c>
      <c r="H375">
        <v>82718000000</v>
      </c>
      <c r="I375">
        <v>102330000000</v>
      </c>
      <c r="J375">
        <v>118304000000</v>
      </c>
      <c r="K375">
        <v>141988000000</v>
      </c>
      <c r="L375">
        <v>166542000000</v>
      </c>
      <c r="M375">
        <v>206223000000</v>
      </c>
    </row>
    <row r="376" spans="1:13" x14ac:dyDescent="0.25">
      <c r="A376">
        <f t="shared" si="17"/>
        <v>6</v>
      </c>
      <c r="B376" t="str">
        <f t="shared" si="15"/>
        <v>MSFT</v>
      </c>
      <c r="C376" t="s">
        <v>3</v>
      </c>
      <c r="D376" t="str">
        <f t="shared" si="16"/>
        <v>MSFT | treasuryStock</v>
      </c>
    </row>
    <row r="377" spans="1:13" x14ac:dyDescent="0.25">
      <c r="A377">
        <f t="shared" si="17"/>
        <v>6</v>
      </c>
      <c r="B377" t="str">
        <f t="shared" si="15"/>
        <v>MSFT</v>
      </c>
      <c r="C377" t="s">
        <v>2</v>
      </c>
      <c r="D377" t="str">
        <f t="shared" si="16"/>
        <v>MSFT | retainedEarnings</v>
      </c>
      <c r="E377">
        <v>9096000000</v>
      </c>
      <c r="F377">
        <v>2282000000</v>
      </c>
      <c r="G377">
        <v>17769000000</v>
      </c>
      <c r="H377">
        <v>13682000000</v>
      </c>
      <c r="I377">
        <v>24150000000</v>
      </c>
      <c r="J377">
        <v>34566000000</v>
      </c>
      <c r="K377">
        <v>57055000000</v>
      </c>
      <c r="L377">
        <v>84281000000</v>
      </c>
      <c r="M377">
        <v>118848000000</v>
      </c>
    </row>
    <row r="378" spans="1:13" x14ac:dyDescent="0.25">
      <c r="A378">
        <f t="shared" si="17"/>
        <v>6</v>
      </c>
      <c r="B378" t="str">
        <f t="shared" si="15"/>
        <v>MSFT</v>
      </c>
      <c r="C378" t="s">
        <v>1</v>
      </c>
      <c r="D378" t="str">
        <f t="shared" si="16"/>
        <v>MSFT | commonStock</v>
      </c>
      <c r="E378">
        <v>68465000000</v>
      </c>
      <c r="F378">
        <v>68178000000</v>
      </c>
      <c r="G378">
        <v>69315000000</v>
      </c>
      <c r="H378">
        <v>71223000000</v>
      </c>
      <c r="I378">
        <v>78520000000</v>
      </c>
      <c r="J378">
        <v>80552000000</v>
      </c>
      <c r="K378">
        <v>83111000000</v>
      </c>
      <c r="L378">
        <v>86939000000</v>
      </c>
      <c r="M378">
        <v>93718000000</v>
      </c>
    </row>
    <row r="379" spans="1:13" x14ac:dyDescent="0.25">
      <c r="A379">
        <f t="shared" si="17"/>
        <v>6</v>
      </c>
      <c r="B379" t="str">
        <f t="shared" si="15"/>
        <v>MSFT</v>
      </c>
      <c r="C379" t="s">
        <v>0</v>
      </c>
      <c r="D379" t="str">
        <f t="shared" si="16"/>
        <v>MSFT | commonStockSharesOutstanding</v>
      </c>
      <c r="E379">
        <v>8027000000</v>
      </c>
      <c r="F379">
        <v>7808000000</v>
      </c>
      <c r="G379">
        <v>7708000000</v>
      </c>
      <c r="H379">
        <v>7677000000</v>
      </c>
      <c r="I379">
        <v>7643000000</v>
      </c>
      <c r="J379">
        <v>7571000000</v>
      </c>
      <c r="K379">
        <v>7519000000</v>
      </c>
      <c r="L379">
        <v>7464000000</v>
      </c>
      <c r="M379">
        <v>7432000000</v>
      </c>
    </row>
    <row r="380" spans="1:13" x14ac:dyDescent="0.25">
      <c r="A380">
        <f t="shared" si="17"/>
        <v>6</v>
      </c>
      <c r="B380" t="str">
        <f t="shared" si="15"/>
        <v>MSFT</v>
      </c>
      <c r="C380" t="s">
        <v>102</v>
      </c>
      <c r="D380" t="str">
        <f t="shared" si="16"/>
        <v>MSFT | NVDA</v>
      </c>
      <c r="E380" t="s">
        <v>101</v>
      </c>
      <c r="F380" t="s">
        <v>100</v>
      </c>
      <c r="G380" t="s">
        <v>99</v>
      </c>
      <c r="H380" t="s">
        <v>98</v>
      </c>
      <c r="I380" t="s">
        <v>97</v>
      </c>
      <c r="J380" t="s">
        <v>96</v>
      </c>
      <c r="K380" t="s">
        <v>95</v>
      </c>
      <c r="L380" t="s">
        <v>94</v>
      </c>
      <c r="M380" t="s">
        <v>93</v>
      </c>
    </row>
    <row r="381" spans="1:13" x14ac:dyDescent="0.25">
      <c r="A381">
        <f t="shared" si="17"/>
        <v>7</v>
      </c>
      <c r="B381" t="str">
        <f t="shared" si="15"/>
        <v>NVDA</v>
      </c>
      <c r="C381" t="s">
        <v>46</v>
      </c>
      <c r="D381" t="str">
        <f t="shared" si="16"/>
        <v>NVDA | grossProfit</v>
      </c>
      <c r="E381">
        <v>2811000000</v>
      </c>
      <c r="F381">
        <v>4063000000</v>
      </c>
      <c r="G381">
        <v>5822000000</v>
      </c>
      <c r="H381">
        <v>7171000000</v>
      </c>
      <c r="I381">
        <v>6768000000</v>
      </c>
      <c r="J381">
        <v>10396000000</v>
      </c>
      <c r="K381">
        <v>17475000000</v>
      </c>
      <c r="L381">
        <v>15356000000</v>
      </c>
      <c r="M381">
        <v>44301000000</v>
      </c>
    </row>
    <row r="382" spans="1:13" x14ac:dyDescent="0.25">
      <c r="A382">
        <f t="shared" si="17"/>
        <v>7</v>
      </c>
      <c r="B382" t="str">
        <f t="shared" si="15"/>
        <v>NVDA</v>
      </c>
      <c r="C382" t="s">
        <v>47</v>
      </c>
      <c r="D382" t="str">
        <f t="shared" si="16"/>
        <v>NVDA | totalRevenue</v>
      </c>
      <c r="E382">
        <v>5010000000</v>
      </c>
      <c r="F382">
        <v>6910000000</v>
      </c>
      <c r="G382">
        <v>9714000000</v>
      </c>
      <c r="H382">
        <v>11658000000</v>
      </c>
      <c r="I382">
        <v>10918000000</v>
      </c>
      <c r="J382">
        <v>16675000000</v>
      </c>
      <c r="K382">
        <v>26914000000</v>
      </c>
      <c r="L382">
        <v>26974000000</v>
      </c>
      <c r="M382">
        <v>60922000000</v>
      </c>
    </row>
    <row r="383" spans="1:13" x14ac:dyDescent="0.25">
      <c r="A383">
        <f t="shared" si="17"/>
        <v>7</v>
      </c>
      <c r="B383" t="str">
        <f t="shared" si="15"/>
        <v>NVDA</v>
      </c>
      <c r="C383" t="s">
        <v>48</v>
      </c>
      <c r="D383" t="str">
        <f t="shared" si="16"/>
        <v>NVDA | costOfRevenue</v>
      </c>
      <c r="E383">
        <v>2199000000</v>
      </c>
      <c r="F383">
        <v>2847000000</v>
      </c>
      <c r="G383">
        <v>3892000000</v>
      </c>
      <c r="H383">
        <v>5798000000</v>
      </c>
      <c r="I383">
        <v>4150000000</v>
      </c>
      <c r="J383">
        <v>6279000000</v>
      </c>
      <c r="K383">
        <v>9439000000</v>
      </c>
      <c r="L383">
        <v>11618000000</v>
      </c>
      <c r="M383">
        <v>16621000000</v>
      </c>
    </row>
    <row r="384" spans="1:13" x14ac:dyDescent="0.25">
      <c r="A384">
        <f t="shared" si="17"/>
        <v>7</v>
      </c>
      <c r="B384" t="str">
        <f t="shared" si="15"/>
        <v>NVDA</v>
      </c>
      <c r="C384" t="s">
        <v>49</v>
      </c>
      <c r="D384" t="str">
        <f t="shared" si="16"/>
        <v>NVDA | costofGoodsAndServicesSold</v>
      </c>
      <c r="E384">
        <v>2199000000</v>
      </c>
      <c r="F384">
        <v>2847000000</v>
      </c>
      <c r="G384">
        <v>3892000000</v>
      </c>
      <c r="H384">
        <v>4545000000</v>
      </c>
      <c r="I384">
        <v>4150000000</v>
      </c>
      <c r="J384">
        <v>6279000000</v>
      </c>
      <c r="K384">
        <v>173000000</v>
      </c>
      <c r="L384">
        <v>1040000000</v>
      </c>
      <c r="M384">
        <v>774000000</v>
      </c>
    </row>
    <row r="385" spans="1:13" x14ac:dyDescent="0.25">
      <c r="A385">
        <f t="shared" si="17"/>
        <v>7</v>
      </c>
      <c r="B385" t="str">
        <f t="shared" si="15"/>
        <v>NVDA</v>
      </c>
      <c r="C385" t="s">
        <v>50</v>
      </c>
      <c r="D385" t="str">
        <f t="shared" si="16"/>
        <v>NVDA | operatingIncome</v>
      </c>
      <c r="E385">
        <v>747000000</v>
      </c>
      <c r="F385">
        <v>1934000000</v>
      </c>
      <c r="G385">
        <v>3210000000</v>
      </c>
      <c r="H385">
        <v>3804000000</v>
      </c>
      <c r="I385">
        <v>2846000000</v>
      </c>
      <c r="J385">
        <v>4532000000</v>
      </c>
      <c r="K385">
        <v>10041000000</v>
      </c>
      <c r="L385">
        <v>4224000000</v>
      </c>
      <c r="M385">
        <v>32972000000</v>
      </c>
    </row>
    <row r="386" spans="1:13" x14ac:dyDescent="0.25">
      <c r="A386">
        <f t="shared" si="17"/>
        <v>7</v>
      </c>
      <c r="B386" t="str">
        <f t="shared" si="15"/>
        <v>NVDA</v>
      </c>
      <c r="C386" t="s">
        <v>51</v>
      </c>
      <c r="D386" t="str">
        <f t="shared" si="16"/>
        <v>NVDA | sellingGeneralAndAdministrative</v>
      </c>
      <c r="E386">
        <v>602000000</v>
      </c>
      <c r="F386">
        <v>663000000</v>
      </c>
      <c r="G386">
        <v>815000000</v>
      </c>
      <c r="H386">
        <v>991000000</v>
      </c>
      <c r="I386">
        <v>1093000000</v>
      </c>
      <c r="J386">
        <v>1940000000</v>
      </c>
      <c r="K386">
        <v>2166000000</v>
      </c>
      <c r="L386">
        <v>2440000000</v>
      </c>
      <c r="M386">
        <v>2654000000</v>
      </c>
    </row>
    <row r="387" spans="1:13" x14ac:dyDescent="0.25">
      <c r="A387">
        <f t="shared" si="17"/>
        <v>7</v>
      </c>
      <c r="B387" t="str">
        <f t="shared" si="15"/>
        <v>NVDA</v>
      </c>
      <c r="C387" t="s">
        <v>52</v>
      </c>
      <c r="D387" t="str">
        <f t="shared" si="16"/>
        <v>NVDA | researchAndDevelopment</v>
      </c>
      <c r="E387">
        <v>1331000000</v>
      </c>
      <c r="F387">
        <v>1463000000</v>
      </c>
      <c r="G387">
        <v>1797000000</v>
      </c>
      <c r="H387">
        <v>2376000000</v>
      </c>
      <c r="I387">
        <v>2829000000</v>
      </c>
      <c r="J387">
        <v>3924000000</v>
      </c>
      <c r="K387">
        <v>5268000000</v>
      </c>
      <c r="L387">
        <v>7339000000</v>
      </c>
      <c r="M387">
        <v>8675000000</v>
      </c>
    </row>
    <row r="388" spans="1:13" x14ac:dyDescent="0.25">
      <c r="A388">
        <f t="shared" si="17"/>
        <v>7</v>
      </c>
      <c r="B388" t="str">
        <f t="shared" si="15"/>
        <v>NVDA</v>
      </c>
      <c r="C388" t="s">
        <v>53</v>
      </c>
      <c r="D388" t="str">
        <f t="shared" si="16"/>
        <v>NVDA | operatingExpenses</v>
      </c>
      <c r="E388">
        <v>2064000000</v>
      </c>
      <c r="F388">
        <v>2129000000</v>
      </c>
      <c r="G388">
        <v>2612000000</v>
      </c>
      <c r="H388">
        <v>3367000000</v>
      </c>
      <c r="I388">
        <v>3922000000</v>
      </c>
      <c r="J388">
        <v>5864000000</v>
      </c>
      <c r="K388">
        <v>7434000000</v>
      </c>
      <c r="L388">
        <v>11132000000</v>
      </c>
      <c r="M388">
        <v>11329000000</v>
      </c>
    </row>
    <row r="389" spans="1:13" x14ac:dyDescent="0.25">
      <c r="A389">
        <f t="shared" si="17"/>
        <v>7</v>
      </c>
      <c r="B389" t="str">
        <f t="shared" si="15"/>
        <v>NVDA</v>
      </c>
      <c r="C389" t="s">
        <v>54</v>
      </c>
      <c r="D389" t="str">
        <f t="shared" si="16"/>
        <v>NVDA | investmentIncomeNet</v>
      </c>
      <c r="E389">
        <v>39000000</v>
      </c>
      <c r="F389">
        <v>54000000</v>
      </c>
      <c r="G389">
        <v>69000000</v>
      </c>
      <c r="H389">
        <v>136000000</v>
      </c>
      <c r="I389">
        <v>178000000</v>
      </c>
      <c r="J389">
        <v>57000000</v>
      </c>
      <c r="K389">
        <v>29000000</v>
      </c>
      <c r="L389">
        <v>267000000</v>
      </c>
      <c r="M389">
        <v>866000000</v>
      </c>
    </row>
    <row r="390" spans="1:13" x14ac:dyDescent="0.25">
      <c r="A390">
        <f t="shared" si="17"/>
        <v>7</v>
      </c>
      <c r="B390" t="str">
        <f t="shared" si="15"/>
        <v>NVDA</v>
      </c>
      <c r="C390" t="s">
        <v>55</v>
      </c>
      <c r="D390" t="str">
        <f t="shared" si="16"/>
        <v>NVDA | netInterestIncome</v>
      </c>
      <c r="E390">
        <v>-47000000</v>
      </c>
      <c r="F390">
        <v>-58000000</v>
      </c>
      <c r="G390">
        <v>-61000000</v>
      </c>
      <c r="H390">
        <v>-58000000</v>
      </c>
      <c r="I390">
        <v>-52000000</v>
      </c>
      <c r="J390">
        <v>-184000000</v>
      </c>
      <c r="K390">
        <v>-236000000</v>
      </c>
      <c r="L390">
        <v>-262000000</v>
      </c>
      <c r="M390">
        <v>-257000000</v>
      </c>
    </row>
    <row r="391" spans="1:13" x14ac:dyDescent="0.25">
      <c r="A391">
        <f t="shared" si="17"/>
        <v>7</v>
      </c>
      <c r="B391" t="str">
        <f t="shared" si="15"/>
        <v>NVDA</v>
      </c>
      <c r="C391" t="s">
        <v>56</v>
      </c>
      <c r="D391" t="str">
        <f t="shared" si="16"/>
        <v>NVDA | interestIncome</v>
      </c>
      <c r="E391">
        <v>8000000</v>
      </c>
      <c r="F391">
        <v>54000000</v>
      </c>
      <c r="G391">
        <v>69000000</v>
      </c>
      <c r="H391">
        <v>136000000</v>
      </c>
      <c r="I391">
        <v>178000000</v>
      </c>
      <c r="J391">
        <v>57000000</v>
      </c>
      <c r="K391">
        <v>29000000</v>
      </c>
      <c r="L391">
        <v>267000000</v>
      </c>
      <c r="M391">
        <v>866000000</v>
      </c>
    </row>
    <row r="392" spans="1:13" x14ac:dyDescent="0.25">
      <c r="A392">
        <f t="shared" si="17"/>
        <v>7</v>
      </c>
      <c r="B392" t="str">
        <f t="shared" si="15"/>
        <v>NVDA</v>
      </c>
      <c r="C392" t="s">
        <v>57</v>
      </c>
      <c r="D392" t="str">
        <f t="shared" si="16"/>
        <v>NVDA | interestExpense</v>
      </c>
      <c r="E392">
        <v>47000000</v>
      </c>
      <c r="F392">
        <v>58000000</v>
      </c>
      <c r="G392">
        <v>61000000</v>
      </c>
      <c r="H392">
        <v>58000000</v>
      </c>
      <c r="I392">
        <v>52000000</v>
      </c>
      <c r="J392">
        <v>184000000</v>
      </c>
      <c r="K392">
        <v>236000000</v>
      </c>
      <c r="L392">
        <v>262000000</v>
      </c>
      <c r="M392">
        <v>257000000</v>
      </c>
    </row>
    <row r="393" spans="1:13" x14ac:dyDescent="0.25">
      <c r="A393">
        <f t="shared" si="17"/>
        <v>7</v>
      </c>
      <c r="B393" t="str">
        <f t="shared" ref="B393:B457" si="18">IF(C393="grossProfit",C392,B392)</f>
        <v>NVDA</v>
      </c>
      <c r="C393" t="s">
        <v>58</v>
      </c>
      <c r="D393" t="str">
        <f t="shared" si="16"/>
        <v>NVDA | nonInterestIncome</v>
      </c>
      <c r="E393">
        <v>0</v>
      </c>
      <c r="F393">
        <v>-16000000</v>
      </c>
      <c r="G393">
        <v>-19000000</v>
      </c>
      <c r="H393">
        <v>11716000000</v>
      </c>
      <c r="I393">
        <v>10918000000</v>
      </c>
      <c r="J393">
        <v>16675000000</v>
      </c>
      <c r="K393">
        <v>26914000000</v>
      </c>
    </row>
    <row r="394" spans="1:13" x14ac:dyDescent="0.25">
      <c r="A394">
        <f t="shared" si="17"/>
        <v>7</v>
      </c>
      <c r="B394" t="str">
        <f t="shared" si="18"/>
        <v>NVDA</v>
      </c>
      <c r="C394" t="s">
        <v>59</v>
      </c>
      <c r="D394" t="str">
        <f t="shared" ref="D394:D458" si="19">CONCATENATE(B394," | ",C394)</f>
        <v>NVDA | otherNonOperatingIncome</v>
      </c>
      <c r="E394">
        <v>4000000</v>
      </c>
      <c r="F394">
        <v>-25000000</v>
      </c>
      <c r="G394">
        <v>-22000000</v>
      </c>
      <c r="H394">
        <v>14000000</v>
      </c>
      <c r="I394">
        <v>-2000000</v>
      </c>
      <c r="J394">
        <v>4000000</v>
      </c>
      <c r="K394">
        <v>107000000</v>
      </c>
      <c r="L394">
        <v>-48000000</v>
      </c>
      <c r="M394">
        <v>237000000</v>
      </c>
    </row>
    <row r="395" spans="1:13" x14ac:dyDescent="0.25">
      <c r="A395">
        <f t="shared" ref="A395:A459" si="20">IF(B395=B394,A394,A394+1)</f>
        <v>7</v>
      </c>
      <c r="B395" t="str">
        <f t="shared" si="18"/>
        <v>NVDA</v>
      </c>
      <c r="C395" t="s">
        <v>60</v>
      </c>
      <c r="D395" t="str">
        <f t="shared" si="19"/>
        <v>NVDA | depreciation</v>
      </c>
      <c r="E395">
        <v>124000000</v>
      </c>
      <c r="F395">
        <v>118000000</v>
      </c>
      <c r="G395">
        <v>144000000</v>
      </c>
      <c r="H395">
        <v>233000000</v>
      </c>
      <c r="I395">
        <v>355000000</v>
      </c>
      <c r="J395">
        <v>486000000</v>
      </c>
      <c r="K395">
        <v>611000000</v>
      </c>
      <c r="L395">
        <v>844000000</v>
      </c>
      <c r="M395">
        <v>894000000</v>
      </c>
    </row>
    <row r="396" spans="1:13" x14ac:dyDescent="0.25">
      <c r="A396">
        <f t="shared" si="20"/>
        <v>7</v>
      </c>
      <c r="B396" t="str">
        <f t="shared" si="18"/>
        <v>NVDA</v>
      </c>
      <c r="C396" t="s">
        <v>61</v>
      </c>
      <c r="D396" t="str">
        <f t="shared" si="19"/>
        <v>NVDA | depreciationAndAmortization</v>
      </c>
      <c r="E396">
        <v>197000000</v>
      </c>
      <c r="F396">
        <v>187000000</v>
      </c>
      <c r="G396">
        <v>199000000</v>
      </c>
      <c r="H396">
        <v>262000000</v>
      </c>
      <c r="I396">
        <v>381000000</v>
      </c>
      <c r="J396">
        <v>1098000000</v>
      </c>
      <c r="K396">
        <v>563000000</v>
      </c>
      <c r="L396">
        <v>699000000</v>
      </c>
      <c r="M396">
        <v>614000000</v>
      </c>
    </row>
    <row r="397" spans="1:13" x14ac:dyDescent="0.25">
      <c r="A397">
        <f t="shared" si="20"/>
        <v>7</v>
      </c>
      <c r="B397" t="str">
        <f t="shared" si="18"/>
        <v>NVDA</v>
      </c>
      <c r="C397" t="s">
        <v>62</v>
      </c>
      <c r="D397" t="str">
        <f t="shared" si="19"/>
        <v>NVDA | incomeBeforeTax</v>
      </c>
      <c r="E397">
        <v>743000000</v>
      </c>
      <c r="F397">
        <v>1905000000</v>
      </c>
      <c r="G397">
        <v>3196000000</v>
      </c>
      <c r="H397">
        <v>3896000000</v>
      </c>
      <c r="I397">
        <v>2970000000</v>
      </c>
      <c r="J397">
        <v>4409000000</v>
      </c>
      <c r="K397">
        <v>9941000000</v>
      </c>
      <c r="L397">
        <v>4181000000</v>
      </c>
      <c r="M397">
        <v>33818000000</v>
      </c>
    </row>
    <row r="398" spans="1:13" x14ac:dyDescent="0.25">
      <c r="A398">
        <f t="shared" si="20"/>
        <v>7</v>
      </c>
      <c r="B398" t="str">
        <f t="shared" si="18"/>
        <v>NVDA</v>
      </c>
      <c r="C398" t="s">
        <v>63</v>
      </c>
      <c r="D398" t="str">
        <f t="shared" si="19"/>
        <v>NVDA | incomeTaxExpense</v>
      </c>
      <c r="E398">
        <v>129000000</v>
      </c>
      <c r="F398">
        <v>239000000</v>
      </c>
      <c r="G398">
        <v>149000000</v>
      </c>
      <c r="H398">
        <v>-245000000</v>
      </c>
      <c r="I398">
        <v>174000000</v>
      </c>
      <c r="J398">
        <v>77000000</v>
      </c>
      <c r="K398">
        <v>189000000</v>
      </c>
      <c r="L398">
        <v>-187000000</v>
      </c>
      <c r="M398">
        <v>4058000000</v>
      </c>
    </row>
    <row r="399" spans="1:13" x14ac:dyDescent="0.25">
      <c r="A399">
        <f t="shared" si="20"/>
        <v>7</v>
      </c>
      <c r="B399" t="str">
        <f t="shared" si="18"/>
        <v>NVDA</v>
      </c>
      <c r="C399" t="s">
        <v>64</v>
      </c>
      <c r="D399" t="str">
        <f t="shared" si="19"/>
        <v>NVDA | interestAndDebtExpense</v>
      </c>
      <c r="E399">
        <v>47000000</v>
      </c>
      <c r="F399">
        <v>79000000</v>
      </c>
      <c r="G399">
        <v>80000000</v>
      </c>
      <c r="H399">
        <v>58000000</v>
      </c>
      <c r="I399">
        <v>52000000</v>
      </c>
      <c r="J399">
        <v>184000000</v>
      </c>
      <c r="K399">
        <v>236000000</v>
      </c>
      <c r="L399">
        <v>262000000</v>
      </c>
      <c r="M399">
        <v>257000000</v>
      </c>
    </row>
    <row r="400" spans="1:13" x14ac:dyDescent="0.25">
      <c r="A400">
        <f t="shared" si="20"/>
        <v>7</v>
      </c>
      <c r="B400" t="str">
        <f t="shared" si="18"/>
        <v>NVDA</v>
      </c>
      <c r="C400" t="s">
        <v>65</v>
      </c>
      <c r="D400" t="str">
        <f t="shared" si="19"/>
        <v>NVDA | netIncomeFromContinuingOperations</v>
      </c>
      <c r="E400">
        <v>614000000</v>
      </c>
      <c r="F400">
        <v>1666000000</v>
      </c>
      <c r="G400">
        <v>3047000000</v>
      </c>
      <c r="H400">
        <v>4141000000</v>
      </c>
      <c r="I400">
        <v>2796000000</v>
      </c>
      <c r="J400">
        <v>4332000000</v>
      </c>
      <c r="K400">
        <v>9752000000</v>
      </c>
      <c r="L400">
        <v>4368000000</v>
      </c>
      <c r="M400">
        <v>29760000000</v>
      </c>
    </row>
    <row r="401" spans="1:15" x14ac:dyDescent="0.25">
      <c r="A401">
        <f t="shared" si="20"/>
        <v>7</v>
      </c>
      <c r="B401" t="str">
        <f t="shared" si="18"/>
        <v>NVDA</v>
      </c>
      <c r="C401" t="s">
        <v>66</v>
      </c>
      <c r="D401" t="str">
        <f t="shared" si="19"/>
        <v>NVDA | comprehensiveIncomeNetOfTax</v>
      </c>
      <c r="E401">
        <v>602000000</v>
      </c>
      <c r="F401">
        <v>1654000000</v>
      </c>
      <c r="G401">
        <v>3045000000</v>
      </c>
      <c r="H401">
        <v>4147000000</v>
      </c>
      <c r="I401">
        <v>2809000000</v>
      </c>
      <c r="J401">
        <v>4350000000</v>
      </c>
      <c r="K401">
        <v>9722000000</v>
      </c>
      <c r="L401">
        <v>4336000000</v>
      </c>
      <c r="M401">
        <v>29830000000</v>
      </c>
    </row>
    <row r="402" spans="1:15" x14ac:dyDescent="0.25">
      <c r="A402">
        <f t="shared" si="20"/>
        <v>7</v>
      </c>
      <c r="B402" t="str">
        <f t="shared" si="18"/>
        <v>NVDA</v>
      </c>
      <c r="C402" t="s">
        <v>67</v>
      </c>
      <c r="D402" t="str">
        <f t="shared" si="19"/>
        <v>NVDA | ebit</v>
      </c>
      <c r="E402">
        <v>790000000</v>
      </c>
      <c r="F402">
        <v>1963000000</v>
      </c>
      <c r="G402">
        <v>3257000000</v>
      </c>
      <c r="H402">
        <v>3954000000</v>
      </c>
      <c r="I402">
        <v>3022000000</v>
      </c>
      <c r="J402">
        <v>4593000000</v>
      </c>
      <c r="K402">
        <v>10177000000</v>
      </c>
      <c r="L402">
        <v>4443000000</v>
      </c>
      <c r="M402">
        <v>34075000000</v>
      </c>
    </row>
    <row r="403" spans="1:15" x14ac:dyDescent="0.25">
      <c r="A403">
        <f t="shared" si="20"/>
        <v>7</v>
      </c>
      <c r="B403" t="str">
        <f t="shared" si="18"/>
        <v>NVDA</v>
      </c>
      <c r="C403" t="s">
        <v>68</v>
      </c>
      <c r="D403" t="str">
        <f t="shared" si="19"/>
        <v>NVDA | ebitda</v>
      </c>
      <c r="E403">
        <v>987000000</v>
      </c>
      <c r="F403">
        <v>2150000000</v>
      </c>
      <c r="G403">
        <v>3456000000</v>
      </c>
      <c r="H403">
        <v>4216000000</v>
      </c>
      <c r="I403">
        <v>3403000000</v>
      </c>
      <c r="J403">
        <v>5691000000</v>
      </c>
      <c r="K403">
        <v>10740000000</v>
      </c>
      <c r="L403">
        <v>5142000000</v>
      </c>
      <c r="M403">
        <v>34689000000</v>
      </c>
    </row>
    <row r="404" spans="1:15" x14ac:dyDescent="0.25">
      <c r="A404">
        <f t="shared" si="20"/>
        <v>7</v>
      </c>
      <c r="B404" t="str">
        <f t="shared" si="18"/>
        <v>NVDA</v>
      </c>
      <c r="C404" t="s">
        <v>69</v>
      </c>
      <c r="D404" t="str">
        <f t="shared" si="19"/>
        <v>NVDA | netIncome</v>
      </c>
      <c r="E404">
        <v>614000000</v>
      </c>
      <c r="F404">
        <v>1666000000</v>
      </c>
      <c r="G404">
        <v>3047000000</v>
      </c>
      <c r="H404">
        <v>4141000000</v>
      </c>
      <c r="I404">
        <v>2796000000</v>
      </c>
      <c r="J404">
        <v>4332000000</v>
      </c>
      <c r="K404">
        <v>9752000000</v>
      </c>
      <c r="L404">
        <v>4368000000</v>
      </c>
      <c r="M404">
        <v>29760000000</v>
      </c>
    </row>
    <row r="405" spans="1:15" x14ac:dyDescent="0.25">
      <c r="A405">
        <f t="shared" si="20"/>
        <v>7</v>
      </c>
      <c r="B405" t="str">
        <f t="shared" si="18"/>
        <v>NVDA</v>
      </c>
      <c r="C405" t="s">
        <v>144</v>
      </c>
      <c r="D405" t="str">
        <f t="shared" si="19"/>
        <v>NVDA | reportedEPS</v>
      </c>
      <c r="E405">
        <v>2.9000000000000001E-2</v>
      </c>
      <c r="F405">
        <v>0.03</v>
      </c>
      <c r="G405">
        <v>6.4000000000000001E-2</v>
      </c>
      <c r="H405">
        <v>0.115</v>
      </c>
      <c r="I405">
        <v>0.16600000000000001</v>
      </c>
      <c r="J405">
        <v>0.14530000000000001</v>
      </c>
      <c r="K405">
        <v>0.2505</v>
      </c>
      <c r="L405">
        <v>0.44450000000000001</v>
      </c>
      <c r="M405">
        <v>0.33300000000000002</v>
      </c>
      <c r="N405">
        <v>1.2969999999999999</v>
      </c>
      <c r="O405">
        <v>2.1019999999999999</v>
      </c>
    </row>
    <row r="406" spans="1:15" x14ac:dyDescent="0.25">
      <c r="A406">
        <f>IF(B406=B404,A404,A404+1)</f>
        <v>7</v>
      </c>
      <c r="B406" t="str">
        <f>IF(C406="grossProfit",C404,B404)</f>
        <v>NVDA</v>
      </c>
      <c r="C406" t="s">
        <v>102</v>
      </c>
      <c r="D406" t="str">
        <f t="shared" si="19"/>
        <v>NVDA | NVDA</v>
      </c>
      <c r="E406" t="s">
        <v>101</v>
      </c>
      <c r="F406" t="s">
        <v>100</v>
      </c>
      <c r="G406" t="s">
        <v>99</v>
      </c>
      <c r="H406" t="s">
        <v>98</v>
      </c>
      <c r="I406" t="s">
        <v>97</v>
      </c>
      <c r="J406" t="s">
        <v>96</v>
      </c>
      <c r="K406" t="s">
        <v>95</v>
      </c>
      <c r="L406" t="s">
        <v>94</v>
      </c>
      <c r="M406" t="s">
        <v>93</v>
      </c>
    </row>
    <row r="407" spans="1:15" x14ac:dyDescent="0.25">
      <c r="A407">
        <f t="shared" si="20"/>
        <v>7</v>
      </c>
      <c r="B407" t="str">
        <f t="shared" si="18"/>
        <v>NVDA</v>
      </c>
      <c r="C407" t="s">
        <v>35</v>
      </c>
      <c r="D407" t="str">
        <f t="shared" si="19"/>
        <v>NVDA | totalAssets</v>
      </c>
      <c r="E407">
        <v>7370000000</v>
      </c>
      <c r="F407">
        <v>9841000000</v>
      </c>
      <c r="G407">
        <v>11241000000</v>
      </c>
      <c r="H407">
        <v>13292000000</v>
      </c>
      <c r="I407">
        <v>17315000000</v>
      </c>
      <c r="J407">
        <v>28791000000</v>
      </c>
      <c r="K407">
        <v>44187000000</v>
      </c>
      <c r="L407">
        <v>41182000000</v>
      </c>
      <c r="M407">
        <v>65728000000</v>
      </c>
    </row>
    <row r="408" spans="1:15" x14ac:dyDescent="0.25">
      <c r="A408">
        <f t="shared" si="20"/>
        <v>7</v>
      </c>
      <c r="B408" t="str">
        <f t="shared" si="18"/>
        <v>NVDA</v>
      </c>
      <c r="C408" t="s">
        <v>34</v>
      </c>
      <c r="D408" t="str">
        <f t="shared" si="19"/>
        <v>NVDA | totalCurrentAssets</v>
      </c>
      <c r="E408">
        <v>6053000000</v>
      </c>
      <c r="F408">
        <v>8536000000</v>
      </c>
      <c r="G408">
        <v>9255000000</v>
      </c>
      <c r="H408">
        <v>10557000000</v>
      </c>
      <c r="I408">
        <v>13690000000</v>
      </c>
      <c r="J408">
        <v>16055000000</v>
      </c>
      <c r="K408">
        <v>28829000000</v>
      </c>
      <c r="L408">
        <v>23073000000</v>
      </c>
      <c r="M408">
        <v>44345000000</v>
      </c>
    </row>
    <row r="409" spans="1:15" x14ac:dyDescent="0.25">
      <c r="A409">
        <f t="shared" si="20"/>
        <v>7</v>
      </c>
      <c r="B409" t="str">
        <f t="shared" si="18"/>
        <v>NVDA</v>
      </c>
      <c r="C409" t="s">
        <v>33</v>
      </c>
      <c r="D409" t="str">
        <f t="shared" si="19"/>
        <v>NVDA | cashAndCashEquivalentsAtCarryingValue</v>
      </c>
      <c r="E409">
        <v>596000000</v>
      </c>
      <c r="F409">
        <v>1766000000</v>
      </c>
      <c r="G409">
        <v>4002000000</v>
      </c>
      <c r="H409">
        <v>782000000</v>
      </c>
      <c r="I409">
        <v>10896000000</v>
      </c>
      <c r="J409">
        <v>847000000</v>
      </c>
      <c r="K409">
        <v>1990000000</v>
      </c>
      <c r="L409">
        <v>3389000000</v>
      </c>
      <c r="M409">
        <v>7280000000</v>
      </c>
    </row>
    <row r="410" spans="1:15" x14ac:dyDescent="0.25">
      <c r="A410">
        <f t="shared" si="20"/>
        <v>7</v>
      </c>
      <c r="B410" t="str">
        <f t="shared" si="18"/>
        <v>NVDA</v>
      </c>
      <c r="C410" t="s">
        <v>32</v>
      </c>
      <c r="D410" t="str">
        <f t="shared" si="19"/>
        <v>NVDA | cashAndShortTermInvestments</v>
      </c>
      <c r="E410">
        <v>5037000000</v>
      </c>
      <c r="F410">
        <v>6798000000</v>
      </c>
      <c r="G410">
        <v>7108000000</v>
      </c>
      <c r="H410">
        <v>7422000000</v>
      </c>
      <c r="I410">
        <v>10897000000</v>
      </c>
      <c r="J410">
        <v>11561000000</v>
      </c>
      <c r="K410">
        <v>21208000000</v>
      </c>
      <c r="L410">
        <v>13296000000</v>
      </c>
      <c r="M410">
        <v>25984000000</v>
      </c>
    </row>
    <row r="411" spans="1:15" x14ac:dyDescent="0.25">
      <c r="A411">
        <f t="shared" si="20"/>
        <v>7</v>
      </c>
      <c r="B411" t="str">
        <f t="shared" si="18"/>
        <v>NVDA</v>
      </c>
      <c r="C411" t="s">
        <v>31</v>
      </c>
      <c r="D411" t="str">
        <f t="shared" si="19"/>
        <v>NVDA | inventory</v>
      </c>
      <c r="E411">
        <v>418000000</v>
      </c>
      <c r="F411">
        <v>794000000</v>
      </c>
      <c r="G411">
        <v>796000000</v>
      </c>
      <c r="H411">
        <v>1575000000</v>
      </c>
      <c r="I411">
        <v>979000000</v>
      </c>
      <c r="J411">
        <v>1826000000</v>
      </c>
      <c r="K411">
        <v>2605000000</v>
      </c>
      <c r="L411">
        <v>5159000000</v>
      </c>
      <c r="M411">
        <v>5282000000</v>
      </c>
    </row>
    <row r="412" spans="1:15" x14ac:dyDescent="0.25">
      <c r="A412">
        <f t="shared" si="20"/>
        <v>7</v>
      </c>
      <c r="B412" t="str">
        <f t="shared" si="18"/>
        <v>NVDA</v>
      </c>
      <c r="C412" t="s">
        <v>30</v>
      </c>
      <c r="D412" t="str">
        <f t="shared" si="19"/>
        <v>NVDA | currentNetReceivables</v>
      </c>
      <c r="E412">
        <v>505000000</v>
      </c>
      <c r="F412">
        <v>826000000</v>
      </c>
      <c r="G412">
        <v>1265000000</v>
      </c>
      <c r="H412">
        <v>1424000000</v>
      </c>
      <c r="I412">
        <v>1657000000</v>
      </c>
      <c r="J412">
        <v>2429000000</v>
      </c>
      <c r="K412">
        <v>4650000000</v>
      </c>
      <c r="L412">
        <v>3827000000</v>
      </c>
      <c r="M412">
        <v>9999000000</v>
      </c>
    </row>
    <row r="413" spans="1:15" x14ac:dyDescent="0.25">
      <c r="A413">
        <f t="shared" si="20"/>
        <v>7</v>
      </c>
      <c r="B413" t="str">
        <f t="shared" si="18"/>
        <v>NVDA</v>
      </c>
      <c r="C413" t="s">
        <v>29</v>
      </c>
      <c r="D413" t="str">
        <f t="shared" si="19"/>
        <v>NVDA | totalNonCurrentAssets</v>
      </c>
      <c r="E413">
        <v>1317000000</v>
      </c>
      <c r="F413">
        <v>1305000000</v>
      </c>
      <c r="G413">
        <v>1986000000</v>
      </c>
      <c r="H413">
        <v>2735000000</v>
      </c>
      <c r="I413">
        <v>3077000000</v>
      </c>
      <c r="J413">
        <v>12880000000</v>
      </c>
      <c r="K413">
        <v>15624000000</v>
      </c>
      <c r="L413">
        <v>18408000000</v>
      </c>
      <c r="M413">
        <v>22899000000</v>
      </c>
    </row>
    <row r="414" spans="1:15" x14ac:dyDescent="0.25">
      <c r="A414">
        <f t="shared" si="20"/>
        <v>7</v>
      </c>
      <c r="B414" t="str">
        <f t="shared" si="18"/>
        <v>NVDA</v>
      </c>
      <c r="C414" t="s">
        <v>28</v>
      </c>
      <c r="D414" t="str">
        <f t="shared" si="19"/>
        <v>NVDA | propertyPlantEquipment</v>
      </c>
      <c r="E414">
        <v>466000000</v>
      </c>
      <c r="F414">
        <v>521000000</v>
      </c>
      <c r="G414">
        <v>997000000</v>
      </c>
      <c r="H414">
        <v>1404000000</v>
      </c>
      <c r="I414">
        <v>1674000000</v>
      </c>
      <c r="J414">
        <v>2149000000</v>
      </c>
      <c r="K414">
        <v>2778000000</v>
      </c>
      <c r="L414">
        <v>3807000000</v>
      </c>
      <c r="M414">
        <v>3914000000</v>
      </c>
    </row>
    <row r="415" spans="1:15" x14ac:dyDescent="0.25">
      <c r="A415">
        <f t="shared" si="20"/>
        <v>7</v>
      </c>
      <c r="B415" t="str">
        <f t="shared" si="18"/>
        <v>NVDA</v>
      </c>
      <c r="C415" t="s">
        <v>27</v>
      </c>
      <c r="D415" t="str">
        <f t="shared" si="19"/>
        <v>NVDA | accumulatedDepreciationAmortizationPPE</v>
      </c>
      <c r="E415">
        <v>634000000</v>
      </c>
      <c r="F415">
        <v>670000000</v>
      </c>
      <c r="G415">
        <v>740000000</v>
      </c>
      <c r="H415">
        <v>767000000</v>
      </c>
      <c r="I415">
        <v>1011000000</v>
      </c>
      <c r="J415">
        <v>1408000000</v>
      </c>
      <c r="K415">
        <v>1903000000</v>
      </c>
      <c r="L415">
        <v>2694000000</v>
      </c>
      <c r="M415">
        <v>3509000000</v>
      </c>
    </row>
    <row r="416" spans="1:15" x14ac:dyDescent="0.25">
      <c r="A416">
        <f t="shared" si="20"/>
        <v>7</v>
      </c>
      <c r="B416" t="str">
        <f t="shared" si="18"/>
        <v>NVDA</v>
      </c>
      <c r="C416" t="s">
        <v>26</v>
      </c>
      <c r="D416" t="str">
        <f t="shared" si="19"/>
        <v>NVDA | intangibleAssets</v>
      </c>
      <c r="E416">
        <v>784000000</v>
      </c>
      <c r="F416">
        <v>722000000</v>
      </c>
      <c r="G416">
        <v>670000000</v>
      </c>
      <c r="H416">
        <v>663000000</v>
      </c>
      <c r="I416">
        <v>667000000</v>
      </c>
      <c r="J416">
        <v>6927000000</v>
      </c>
      <c r="K416">
        <v>6688000000</v>
      </c>
      <c r="L416">
        <v>6048000000</v>
      </c>
      <c r="M416">
        <v>5512000000</v>
      </c>
    </row>
    <row r="417" spans="1:13" x14ac:dyDescent="0.25">
      <c r="A417">
        <f t="shared" si="20"/>
        <v>7</v>
      </c>
      <c r="B417" t="str">
        <f t="shared" si="18"/>
        <v>NVDA</v>
      </c>
      <c r="C417" t="s">
        <v>25</v>
      </c>
      <c r="D417" t="str">
        <f t="shared" si="19"/>
        <v>NVDA | intangibleAssetsExcludingGoodwill</v>
      </c>
      <c r="E417">
        <v>166000000</v>
      </c>
      <c r="F417">
        <v>104000000</v>
      </c>
      <c r="G417">
        <v>52000000</v>
      </c>
      <c r="H417">
        <v>45000000</v>
      </c>
      <c r="I417">
        <v>49000000</v>
      </c>
      <c r="J417">
        <v>2737000000</v>
      </c>
      <c r="K417">
        <v>2339000000</v>
      </c>
      <c r="L417">
        <v>1676000000</v>
      </c>
      <c r="M417">
        <v>1112000000</v>
      </c>
    </row>
    <row r="418" spans="1:13" x14ac:dyDescent="0.25">
      <c r="A418">
        <f t="shared" si="20"/>
        <v>7</v>
      </c>
      <c r="B418" t="str">
        <f t="shared" si="18"/>
        <v>NVDA</v>
      </c>
      <c r="C418" t="s">
        <v>24</v>
      </c>
      <c r="D418" t="str">
        <f t="shared" si="19"/>
        <v>NVDA | goodwill</v>
      </c>
      <c r="E418">
        <v>618000000</v>
      </c>
      <c r="F418">
        <v>618000000</v>
      </c>
      <c r="G418">
        <v>618000000</v>
      </c>
      <c r="H418">
        <v>618000000</v>
      </c>
      <c r="I418">
        <v>618000000</v>
      </c>
      <c r="J418">
        <v>4190000000</v>
      </c>
      <c r="K418">
        <v>4349000000</v>
      </c>
      <c r="L418">
        <v>4400000000</v>
      </c>
      <c r="M418">
        <v>4430000000</v>
      </c>
    </row>
    <row r="419" spans="1:13" x14ac:dyDescent="0.25">
      <c r="A419">
        <f t="shared" si="20"/>
        <v>7</v>
      </c>
      <c r="B419" t="str">
        <f t="shared" si="18"/>
        <v>NVDA</v>
      </c>
      <c r="C419" t="s">
        <v>23</v>
      </c>
      <c r="D419" t="str">
        <f t="shared" si="19"/>
        <v>NVDA | investments</v>
      </c>
      <c r="E419">
        <v>4673000000</v>
      </c>
      <c r="F419">
        <v>5468000000</v>
      </c>
      <c r="G419">
        <v>3106000000</v>
      </c>
      <c r="H419">
        <v>13964000000</v>
      </c>
      <c r="I419">
        <v>10782000000</v>
      </c>
      <c r="J419">
        <v>22209000000</v>
      </c>
      <c r="K419">
        <v>40397000000</v>
      </c>
      <c r="L419">
        <v>23261000000</v>
      </c>
      <c r="M419">
        <v>45974000000</v>
      </c>
    </row>
    <row r="420" spans="1:13" x14ac:dyDescent="0.25">
      <c r="A420">
        <f t="shared" si="20"/>
        <v>7</v>
      </c>
      <c r="B420" t="str">
        <f t="shared" si="18"/>
        <v>NVDA</v>
      </c>
      <c r="C420" t="s">
        <v>22</v>
      </c>
      <c r="D420" t="str">
        <f t="shared" si="19"/>
        <v>NVDA | longTermInvestments</v>
      </c>
      <c r="I420">
        <v>77000000</v>
      </c>
      <c r="J420">
        <v>144000000</v>
      </c>
      <c r="K420">
        <v>266000000</v>
      </c>
      <c r="L420">
        <v>299000000</v>
      </c>
      <c r="M420">
        <v>1546000000</v>
      </c>
    </row>
    <row r="421" spans="1:13" x14ac:dyDescent="0.25">
      <c r="A421">
        <f t="shared" si="20"/>
        <v>7</v>
      </c>
      <c r="B421" t="str">
        <f t="shared" si="18"/>
        <v>NVDA</v>
      </c>
      <c r="C421" t="s">
        <v>21</v>
      </c>
      <c r="D421" t="str">
        <f t="shared" si="19"/>
        <v>NVDA | shortTermInvestments</v>
      </c>
      <c r="E421">
        <v>4441000000</v>
      </c>
      <c r="F421">
        <v>5032000000</v>
      </c>
      <c r="G421">
        <v>3106000000</v>
      </c>
      <c r="H421">
        <v>6640000000</v>
      </c>
      <c r="I421">
        <v>1000000</v>
      </c>
      <c r="J421">
        <v>10714000000</v>
      </c>
      <c r="K421">
        <v>19218000000</v>
      </c>
      <c r="L421">
        <v>9907000000</v>
      </c>
      <c r="M421">
        <v>18704000000</v>
      </c>
    </row>
    <row r="422" spans="1:13" x14ac:dyDescent="0.25">
      <c r="A422">
        <f t="shared" si="20"/>
        <v>7</v>
      </c>
      <c r="B422" t="str">
        <f t="shared" si="18"/>
        <v>NVDA</v>
      </c>
      <c r="C422" t="s">
        <v>20</v>
      </c>
      <c r="D422" t="str">
        <f t="shared" si="19"/>
        <v>NVDA | otherCurrentAssets</v>
      </c>
      <c r="E422">
        <v>67000000</v>
      </c>
      <c r="F422">
        <v>62000000</v>
      </c>
      <c r="G422">
        <v>319000000</v>
      </c>
      <c r="H422">
        <v>108000000</v>
      </c>
      <c r="I422">
        <v>157000000</v>
      </c>
      <c r="J422">
        <v>97000000</v>
      </c>
      <c r="K422">
        <v>366000000</v>
      </c>
      <c r="L422">
        <v>791000000</v>
      </c>
      <c r="M422">
        <v>3080000000</v>
      </c>
    </row>
    <row r="423" spans="1:13" x14ac:dyDescent="0.25">
      <c r="A423">
        <f t="shared" si="20"/>
        <v>7</v>
      </c>
      <c r="B423" t="str">
        <f t="shared" si="18"/>
        <v>NVDA</v>
      </c>
      <c r="C423" t="s">
        <v>19</v>
      </c>
      <c r="D423" t="str">
        <f t="shared" si="19"/>
        <v>NVDA | otherNonCurrentAssets</v>
      </c>
      <c r="E423">
        <v>67000000</v>
      </c>
      <c r="F423">
        <v>62000000</v>
      </c>
      <c r="G423">
        <v>319000000</v>
      </c>
      <c r="H423">
        <v>108000000</v>
      </c>
      <c r="I423">
        <v>118000000</v>
      </c>
      <c r="J423">
        <v>2144000000</v>
      </c>
      <c r="K423">
        <v>3841000000</v>
      </c>
      <c r="L423">
        <v>3820000000</v>
      </c>
      <c r="M423">
        <v>4500000000</v>
      </c>
    </row>
    <row r="424" spans="1:13" x14ac:dyDescent="0.25">
      <c r="A424">
        <f t="shared" si="20"/>
        <v>7</v>
      </c>
      <c r="B424" t="str">
        <f t="shared" si="18"/>
        <v>NVDA</v>
      </c>
      <c r="C424" t="s">
        <v>18</v>
      </c>
      <c r="D424" t="str">
        <f t="shared" si="19"/>
        <v>NVDA | totalLiabilities</v>
      </c>
      <c r="E424">
        <v>2814000000</v>
      </c>
      <c r="F424">
        <v>4048000000</v>
      </c>
      <c r="G424">
        <v>3770000000</v>
      </c>
      <c r="H424">
        <v>3950000000</v>
      </c>
      <c r="I424">
        <v>5111000000</v>
      </c>
      <c r="J424">
        <v>11898000000</v>
      </c>
      <c r="K424">
        <v>17575000000</v>
      </c>
      <c r="L424">
        <v>19081000000</v>
      </c>
      <c r="M424">
        <v>22750000000</v>
      </c>
    </row>
    <row r="425" spans="1:13" x14ac:dyDescent="0.25">
      <c r="A425">
        <f t="shared" si="20"/>
        <v>7</v>
      </c>
      <c r="B425" t="str">
        <f t="shared" si="18"/>
        <v>NVDA</v>
      </c>
      <c r="C425" t="s">
        <v>17</v>
      </c>
      <c r="D425" t="str">
        <f t="shared" si="19"/>
        <v>NVDA | totalCurrentLiabilities</v>
      </c>
      <c r="E425">
        <v>2351000000</v>
      </c>
      <c r="F425">
        <v>1788000000</v>
      </c>
      <c r="G425">
        <v>1153000000</v>
      </c>
      <c r="H425">
        <v>1329000000</v>
      </c>
      <c r="I425">
        <v>1784000000</v>
      </c>
      <c r="J425">
        <v>3925000000</v>
      </c>
      <c r="K425">
        <v>4335000000</v>
      </c>
      <c r="L425">
        <v>6563000000</v>
      </c>
      <c r="M425">
        <v>10631000000</v>
      </c>
    </row>
    <row r="426" spans="1:13" x14ac:dyDescent="0.25">
      <c r="A426">
        <f t="shared" si="20"/>
        <v>7</v>
      </c>
      <c r="B426" t="str">
        <f t="shared" si="18"/>
        <v>NVDA</v>
      </c>
      <c r="C426" t="s">
        <v>16</v>
      </c>
      <c r="D426" t="str">
        <f t="shared" si="19"/>
        <v>NVDA | currentAccountsPayable</v>
      </c>
      <c r="E426">
        <v>296000000</v>
      </c>
      <c r="F426">
        <v>485000000</v>
      </c>
      <c r="G426">
        <v>596000000</v>
      </c>
      <c r="H426">
        <v>511000000</v>
      </c>
      <c r="I426">
        <v>687000000</v>
      </c>
      <c r="J426">
        <v>1149000000</v>
      </c>
      <c r="K426">
        <v>1783000000</v>
      </c>
      <c r="L426">
        <v>1193000000</v>
      </c>
      <c r="M426">
        <v>2699000000</v>
      </c>
    </row>
    <row r="427" spans="1:13" x14ac:dyDescent="0.25">
      <c r="A427">
        <f t="shared" si="20"/>
        <v>7</v>
      </c>
      <c r="B427" t="str">
        <f t="shared" si="18"/>
        <v>NVDA</v>
      </c>
      <c r="C427" t="s">
        <v>15</v>
      </c>
      <c r="D427" t="str">
        <f t="shared" si="19"/>
        <v>NVDA | deferredRevenue</v>
      </c>
      <c r="E427">
        <v>366000000</v>
      </c>
      <c r="F427">
        <v>89000000</v>
      </c>
      <c r="G427">
        <v>63000000</v>
      </c>
      <c r="H427">
        <v>138000000</v>
      </c>
      <c r="I427">
        <v>402000000</v>
      </c>
      <c r="J427">
        <v>902000000</v>
      </c>
      <c r="K427">
        <v>1004000000</v>
      </c>
      <c r="L427">
        <v>1144000000</v>
      </c>
      <c r="M427">
        <v>2674000000</v>
      </c>
    </row>
    <row r="428" spans="1:13" x14ac:dyDescent="0.25">
      <c r="A428">
        <f t="shared" si="20"/>
        <v>7</v>
      </c>
      <c r="B428" t="str">
        <f t="shared" si="18"/>
        <v>NVDA</v>
      </c>
      <c r="C428" t="s">
        <v>14</v>
      </c>
      <c r="D428" t="str">
        <f t="shared" si="19"/>
        <v>NVDA | currentDebt</v>
      </c>
      <c r="E428">
        <v>1417000000</v>
      </c>
      <c r="F428">
        <v>800000000</v>
      </c>
      <c r="G428">
        <v>20000000</v>
      </c>
      <c r="I428">
        <v>0</v>
      </c>
      <c r="J428">
        <v>999000000</v>
      </c>
      <c r="K428">
        <v>0</v>
      </c>
      <c r="L428">
        <v>1250000000</v>
      </c>
      <c r="M428">
        <v>1250000000</v>
      </c>
    </row>
    <row r="429" spans="1:13" x14ac:dyDescent="0.25">
      <c r="A429">
        <f t="shared" si="20"/>
        <v>7</v>
      </c>
      <c r="B429" t="str">
        <f t="shared" si="18"/>
        <v>NVDA</v>
      </c>
      <c r="C429" t="s">
        <v>13</v>
      </c>
      <c r="D429" t="str">
        <f t="shared" si="19"/>
        <v>NVDA | shortTermDebt</v>
      </c>
      <c r="E429">
        <v>1413000000</v>
      </c>
      <c r="F429">
        <v>827000000</v>
      </c>
      <c r="G429">
        <v>15000000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f t="shared" si="20"/>
        <v>7</v>
      </c>
      <c r="B430" t="str">
        <f t="shared" si="18"/>
        <v>NVDA</v>
      </c>
      <c r="C430" t="s">
        <v>12</v>
      </c>
      <c r="D430" t="str">
        <f t="shared" si="19"/>
        <v>NVDA | totalNonCurrentLiabilities</v>
      </c>
      <c r="E430">
        <v>887000000</v>
      </c>
      <c r="F430">
        <v>518000000</v>
      </c>
      <c r="G430">
        <v>1245000000</v>
      </c>
      <c r="H430">
        <v>1233000000</v>
      </c>
      <c r="I430">
        <v>1975000000</v>
      </c>
      <c r="J430">
        <v>9246000000</v>
      </c>
      <c r="K430">
        <v>14667000000</v>
      </c>
      <c r="L430">
        <v>14187000000</v>
      </c>
      <c r="M430">
        <v>14515000000</v>
      </c>
    </row>
    <row r="431" spans="1:13" x14ac:dyDescent="0.25">
      <c r="A431">
        <f t="shared" si="20"/>
        <v>7</v>
      </c>
      <c r="B431" t="str">
        <f t="shared" si="18"/>
        <v>NVDA</v>
      </c>
      <c r="C431" t="s">
        <v>11</v>
      </c>
      <c r="D431" t="str">
        <f t="shared" si="19"/>
        <v>NVDA | capitalLeaseObligations</v>
      </c>
      <c r="E431">
        <v>10000000</v>
      </c>
      <c r="F431">
        <v>6000000</v>
      </c>
      <c r="I431">
        <v>652000000</v>
      </c>
      <c r="J431">
        <v>634000000</v>
      </c>
      <c r="K431">
        <v>741000000</v>
      </c>
      <c r="L431">
        <v>902000000</v>
      </c>
      <c r="M431">
        <v>1347000000</v>
      </c>
    </row>
    <row r="432" spans="1:13" x14ac:dyDescent="0.25">
      <c r="A432">
        <f t="shared" si="20"/>
        <v>7</v>
      </c>
      <c r="B432" t="str">
        <f t="shared" si="18"/>
        <v>NVDA</v>
      </c>
      <c r="C432" t="s">
        <v>10</v>
      </c>
      <c r="D432" t="str">
        <f t="shared" si="19"/>
        <v>NVDA | longTermDebt</v>
      </c>
      <c r="E432">
        <v>0</v>
      </c>
      <c r="F432">
        <v>1983000000</v>
      </c>
      <c r="G432">
        <v>1985000000</v>
      </c>
      <c r="H432">
        <v>1988000000</v>
      </c>
      <c r="I432">
        <v>1991000000</v>
      </c>
      <c r="J432">
        <v>6963000000</v>
      </c>
      <c r="K432">
        <v>10946000000</v>
      </c>
      <c r="L432">
        <v>10953000000</v>
      </c>
      <c r="M432">
        <v>9709000000</v>
      </c>
    </row>
    <row r="433" spans="1:13" x14ac:dyDescent="0.25">
      <c r="A433">
        <f t="shared" si="20"/>
        <v>7</v>
      </c>
      <c r="B433" t="str">
        <f t="shared" si="18"/>
        <v>NVDA</v>
      </c>
      <c r="C433" t="s">
        <v>9</v>
      </c>
      <c r="D433" t="str">
        <f t="shared" si="19"/>
        <v>NVDA | currentLongTermDebt</v>
      </c>
      <c r="E433">
        <v>1413000000</v>
      </c>
      <c r="F433">
        <v>796000000</v>
      </c>
      <c r="G433">
        <v>15000000</v>
      </c>
      <c r="H433">
        <v>0</v>
      </c>
      <c r="I433">
        <v>0</v>
      </c>
      <c r="J433">
        <v>999000000</v>
      </c>
      <c r="K433">
        <v>0</v>
      </c>
      <c r="L433">
        <v>1250000000</v>
      </c>
      <c r="M433">
        <v>1250000000</v>
      </c>
    </row>
    <row r="434" spans="1:13" x14ac:dyDescent="0.25">
      <c r="A434">
        <f t="shared" si="20"/>
        <v>7</v>
      </c>
      <c r="B434" t="str">
        <f t="shared" si="18"/>
        <v>NVDA</v>
      </c>
      <c r="C434" t="s">
        <v>8</v>
      </c>
      <c r="D434" t="str">
        <f t="shared" si="19"/>
        <v>NVDA | longTermDebtNoncurrent</v>
      </c>
      <c r="E434">
        <v>0</v>
      </c>
      <c r="I434">
        <v>1991000000</v>
      </c>
      <c r="J434">
        <v>5964000000</v>
      </c>
      <c r="K434">
        <v>10946000000</v>
      </c>
      <c r="L434">
        <v>9703000000</v>
      </c>
      <c r="M434">
        <v>8459000000</v>
      </c>
    </row>
    <row r="435" spans="1:13" x14ac:dyDescent="0.25">
      <c r="A435">
        <f t="shared" si="20"/>
        <v>7</v>
      </c>
      <c r="B435" t="str">
        <f t="shared" si="18"/>
        <v>NVDA</v>
      </c>
      <c r="C435" t="s">
        <v>7</v>
      </c>
      <c r="D435" t="str">
        <f t="shared" si="19"/>
        <v>NVDA | shortLongTermDebtTotal</v>
      </c>
      <c r="E435">
        <v>1413000000</v>
      </c>
      <c r="F435">
        <v>1983000000</v>
      </c>
      <c r="G435">
        <v>1985000000</v>
      </c>
      <c r="H435">
        <v>1988000000</v>
      </c>
      <c r="I435">
        <v>1991000000</v>
      </c>
      <c r="J435">
        <v>6963000000</v>
      </c>
      <c r="K435">
        <v>10946000000</v>
      </c>
      <c r="L435">
        <v>10953000000</v>
      </c>
      <c r="M435">
        <v>9709000000</v>
      </c>
    </row>
    <row r="436" spans="1:13" x14ac:dyDescent="0.25">
      <c r="A436">
        <f t="shared" si="20"/>
        <v>7</v>
      </c>
      <c r="B436" t="str">
        <f t="shared" si="18"/>
        <v>NVDA</v>
      </c>
      <c r="C436" t="s">
        <v>6</v>
      </c>
      <c r="D436" t="str">
        <f t="shared" si="19"/>
        <v>NVDA | otherCurrentLiabilities</v>
      </c>
      <c r="E436">
        <v>320000000</v>
      </c>
      <c r="F436">
        <v>422000000</v>
      </c>
      <c r="G436">
        <v>489000000</v>
      </c>
      <c r="H436">
        <v>635000000</v>
      </c>
      <c r="I436">
        <v>865000000</v>
      </c>
      <c r="J436">
        <v>1437000000</v>
      </c>
      <c r="K436">
        <v>2108000000</v>
      </c>
      <c r="L436">
        <v>3766000000</v>
      </c>
      <c r="M436">
        <v>5690000000</v>
      </c>
    </row>
    <row r="437" spans="1:13" x14ac:dyDescent="0.25">
      <c r="A437">
        <f t="shared" si="20"/>
        <v>7</v>
      </c>
      <c r="B437" t="str">
        <f t="shared" si="18"/>
        <v>NVDA</v>
      </c>
      <c r="C437" t="s">
        <v>5</v>
      </c>
      <c r="D437" t="str">
        <f t="shared" si="19"/>
        <v>NVDA | otherNonCurrentLiabilities</v>
      </c>
      <c r="E437">
        <v>453000000</v>
      </c>
      <c r="F437">
        <v>277000000</v>
      </c>
      <c r="G437">
        <v>632000000</v>
      </c>
      <c r="H437">
        <v>633000000</v>
      </c>
      <c r="I437">
        <v>775000000</v>
      </c>
      <c r="J437">
        <v>1375000000</v>
      </c>
      <c r="K437">
        <v>1553000000</v>
      </c>
      <c r="L437">
        <v>1913000000</v>
      </c>
      <c r="M437">
        <v>2541000000</v>
      </c>
    </row>
    <row r="438" spans="1:13" x14ac:dyDescent="0.25">
      <c r="A438">
        <f t="shared" si="20"/>
        <v>7</v>
      </c>
      <c r="B438" t="str">
        <f t="shared" si="18"/>
        <v>NVDA</v>
      </c>
      <c r="C438" t="s">
        <v>4</v>
      </c>
      <c r="D438" t="str">
        <f t="shared" si="19"/>
        <v>NVDA | totalShareholderEquity</v>
      </c>
      <c r="E438">
        <v>4469000000</v>
      </c>
      <c r="F438">
        <v>5762000000</v>
      </c>
      <c r="G438">
        <v>7471000000</v>
      </c>
      <c r="H438">
        <v>9342000000</v>
      </c>
      <c r="I438">
        <v>12204000000</v>
      </c>
      <c r="J438">
        <v>16893000000</v>
      </c>
      <c r="K438">
        <v>26612000000</v>
      </c>
      <c r="L438">
        <v>22101000000</v>
      </c>
      <c r="M438">
        <v>42978000000</v>
      </c>
    </row>
    <row r="439" spans="1:13" x14ac:dyDescent="0.25">
      <c r="A439">
        <f t="shared" si="20"/>
        <v>7</v>
      </c>
      <c r="B439" t="str">
        <f t="shared" si="18"/>
        <v>NVDA</v>
      </c>
      <c r="C439" t="s">
        <v>3</v>
      </c>
      <c r="D439" t="str">
        <f t="shared" si="19"/>
        <v>NVDA | treasuryStock</v>
      </c>
      <c r="E439">
        <v>4048000000</v>
      </c>
      <c r="F439">
        <v>5039000000</v>
      </c>
      <c r="G439">
        <v>6650000000</v>
      </c>
      <c r="H439">
        <v>9263000000</v>
      </c>
      <c r="I439">
        <v>9814000000</v>
      </c>
      <c r="J439">
        <v>10756000000</v>
      </c>
      <c r="K439">
        <v>0</v>
      </c>
    </row>
    <row r="440" spans="1:13" x14ac:dyDescent="0.25">
      <c r="A440">
        <f t="shared" si="20"/>
        <v>7</v>
      </c>
      <c r="B440" t="str">
        <f t="shared" si="18"/>
        <v>NVDA</v>
      </c>
      <c r="C440" t="s">
        <v>2</v>
      </c>
      <c r="D440" t="str">
        <f t="shared" si="19"/>
        <v>NVDA | retainedEarnings</v>
      </c>
      <c r="E440">
        <v>4350000000</v>
      </c>
      <c r="F440">
        <v>6108000000</v>
      </c>
      <c r="G440">
        <v>8787000000</v>
      </c>
      <c r="H440">
        <v>12565000000</v>
      </c>
      <c r="I440">
        <v>14971000000</v>
      </c>
      <c r="J440">
        <v>18908000000</v>
      </c>
      <c r="K440">
        <v>16235000000</v>
      </c>
      <c r="L440">
        <v>10171000000</v>
      </c>
      <c r="M440">
        <v>29817000000</v>
      </c>
    </row>
    <row r="441" spans="1:13" x14ac:dyDescent="0.25">
      <c r="A441">
        <f t="shared" si="20"/>
        <v>7</v>
      </c>
      <c r="B441" t="str">
        <f t="shared" si="18"/>
        <v>NVDA</v>
      </c>
      <c r="C441" t="s">
        <v>1</v>
      </c>
      <c r="D441" t="str">
        <f t="shared" si="19"/>
        <v>NVDA | commonStock</v>
      </c>
      <c r="E441">
        <v>1000000</v>
      </c>
      <c r="F441">
        <v>1000000</v>
      </c>
      <c r="G441">
        <v>1000000</v>
      </c>
      <c r="H441">
        <v>1000000</v>
      </c>
      <c r="I441">
        <v>1000000</v>
      </c>
      <c r="J441">
        <v>3000000</v>
      </c>
      <c r="K441">
        <v>3000000</v>
      </c>
      <c r="L441">
        <v>2000000</v>
      </c>
      <c r="M441">
        <v>25000000</v>
      </c>
    </row>
    <row r="442" spans="1:13" x14ac:dyDescent="0.25">
      <c r="A442">
        <f t="shared" si="20"/>
        <v>7</v>
      </c>
      <c r="B442" t="str">
        <f t="shared" si="18"/>
        <v>NVDA</v>
      </c>
      <c r="C442" t="s">
        <v>0</v>
      </c>
      <c r="D442" t="str">
        <f t="shared" si="19"/>
        <v>NVDA | commonStockSharesOutstanding</v>
      </c>
      <c r="E442">
        <v>539000000</v>
      </c>
      <c r="F442">
        <v>585000000</v>
      </c>
      <c r="G442">
        <v>606000000</v>
      </c>
      <c r="H442">
        <v>606000000</v>
      </c>
      <c r="I442">
        <v>612000000</v>
      </c>
      <c r="J442">
        <v>620000000</v>
      </c>
      <c r="K442">
        <v>2506000000</v>
      </c>
      <c r="L442">
        <v>2466000000</v>
      </c>
      <c r="M442">
        <v>2464000000</v>
      </c>
    </row>
    <row r="443" spans="1:13" x14ac:dyDescent="0.25">
      <c r="A443">
        <f t="shared" si="20"/>
        <v>7</v>
      </c>
      <c r="B443" t="str">
        <f t="shared" si="18"/>
        <v>NVDA</v>
      </c>
      <c r="C443" t="s">
        <v>103</v>
      </c>
      <c r="D443" t="str">
        <f t="shared" si="19"/>
        <v>NVDA | TSLA</v>
      </c>
      <c r="E443" t="s">
        <v>78</v>
      </c>
      <c r="F443" t="s">
        <v>77</v>
      </c>
      <c r="G443" t="s">
        <v>76</v>
      </c>
      <c r="H443" t="s">
        <v>75</v>
      </c>
      <c r="I443" t="s">
        <v>74</v>
      </c>
      <c r="J443" t="s">
        <v>73</v>
      </c>
      <c r="K443" t="s">
        <v>72</v>
      </c>
      <c r="L443" t="s">
        <v>71</v>
      </c>
      <c r="M443" t="s">
        <v>70</v>
      </c>
    </row>
    <row r="444" spans="1:13" x14ac:dyDescent="0.25">
      <c r="A444">
        <f t="shared" si="20"/>
        <v>8</v>
      </c>
      <c r="B444" t="str">
        <f t="shared" si="18"/>
        <v>TSLA</v>
      </c>
      <c r="C444" t="s">
        <v>46</v>
      </c>
      <c r="D444" t="str">
        <f t="shared" si="19"/>
        <v>TSLA | grossProfit</v>
      </c>
      <c r="E444">
        <v>923503000</v>
      </c>
      <c r="F444">
        <v>1599257000</v>
      </c>
      <c r="G444">
        <v>2223000000</v>
      </c>
      <c r="H444">
        <v>4042000000</v>
      </c>
      <c r="I444">
        <v>4069000000</v>
      </c>
      <c r="J444">
        <v>6630000000</v>
      </c>
      <c r="K444">
        <v>13606000000</v>
      </c>
      <c r="L444">
        <v>20853000000</v>
      </c>
      <c r="M444">
        <v>17660000000</v>
      </c>
    </row>
    <row r="445" spans="1:13" x14ac:dyDescent="0.25">
      <c r="A445">
        <f t="shared" si="20"/>
        <v>8</v>
      </c>
      <c r="B445" t="str">
        <f t="shared" si="18"/>
        <v>TSLA</v>
      </c>
      <c r="C445" t="s">
        <v>47</v>
      </c>
      <c r="D445" t="str">
        <f t="shared" si="19"/>
        <v>TSLA | totalRevenue</v>
      </c>
      <c r="E445">
        <v>4046025000</v>
      </c>
      <c r="F445">
        <v>7000132000</v>
      </c>
      <c r="G445">
        <v>11759000000</v>
      </c>
      <c r="H445">
        <v>21461000000</v>
      </c>
      <c r="I445">
        <v>24578000000</v>
      </c>
      <c r="J445">
        <v>31536000000</v>
      </c>
      <c r="K445">
        <v>53823000000</v>
      </c>
      <c r="L445">
        <v>81462000000</v>
      </c>
      <c r="M445">
        <v>96773000000</v>
      </c>
    </row>
    <row r="446" spans="1:13" x14ac:dyDescent="0.25">
      <c r="A446">
        <f t="shared" si="20"/>
        <v>8</v>
      </c>
      <c r="B446" t="str">
        <f t="shared" si="18"/>
        <v>TSLA</v>
      </c>
      <c r="C446" t="s">
        <v>48</v>
      </c>
      <c r="D446" t="str">
        <f t="shared" si="19"/>
        <v>TSLA | costOfRevenue</v>
      </c>
      <c r="E446">
        <v>3122522000</v>
      </c>
      <c r="F446">
        <v>5400875000</v>
      </c>
      <c r="G446">
        <v>9536000000</v>
      </c>
      <c r="H446">
        <v>17419000000</v>
      </c>
      <c r="I446">
        <v>20509000000</v>
      </c>
      <c r="J446">
        <v>24906000000</v>
      </c>
      <c r="K446">
        <v>40217000000</v>
      </c>
      <c r="L446">
        <v>60609000000</v>
      </c>
      <c r="M446">
        <v>79113000000</v>
      </c>
    </row>
    <row r="447" spans="1:13" x14ac:dyDescent="0.25">
      <c r="A447">
        <f t="shared" si="20"/>
        <v>8</v>
      </c>
      <c r="B447" t="str">
        <f t="shared" si="18"/>
        <v>TSLA</v>
      </c>
      <c r="C447" t="s">
        <v>49</v>
      </c>
      <c r="D447" t="str">
        <f t="shared" si="19"/>
        <v>TSLA | costofGoodsAndServicesSold</v>
      </c>
      <c r="E447">
        <v>2868242000</v>
      </c>
      <c r="F447">
        <v>4559939000</v>
      </c>
      <c r="G447">
        <v>7797183000</v>
      </c>
      <c r="H447">
        <v>85272000</v>
      </c>
      <c r="I447">
        <v>193000000</v>
      </c>
      <c r="J447">
        <v>289000000</v>
      </c>
      <c r="K447">
        <v>374000000</v>
      </c>
      <c r="L447">
        <v>604000000</v>
      </c>
      <c r="M447">
        <v>463000000</v>
      </c>
    </row>
    <row r="448" spans="1:13" x14ac:dyDescent="0.25">
      <c r="A448">
        <f t="shared" si="20"/>
        <v>8</v>
      </c>
      <c r="B448" t="str">
        <f t="shared" si="18"/>
        <v>TSLA</v>
      </c>
      <c r="C448" t="s">
        <v>50</v>
      </c>
      <c r="D448" t="str">
        <f t="shared" si="19"/>
        <v>TSLA | operatingIncome</v>
      </c>
      <c r="E448">
        <v>-716629000</v>
      </c>
      <c r="F448">
        <v>-667340000</v>
      </c>
      <c r="G448">
        <v>-1632000000</v>
      </c>
      <c r="H448">
        <v>-388000000</v>
      </c>
      <c r="I448">
        <v>-69000000</v>
      </c>
      <c r="J448">
        <v>1994000000</v>
      </c>
      <c r="K448">
        <v>6523000000</v>
      </c>
      <c r="L448">
        <v>13656000000</v>
      </c>
      <c r="M448">
        <v>8891000000</v>
      </c>
    </row>
    <row r="449" spans="1:13" x14ac:dyDescent="0.25">
      <c r="A449">
        <f t="shared" si="20"/>
        <v>8</v>
      </c>
      <c r="B449" t="str">
        <f t="shared" si="18"/>
        <v>TSLA</v>
      </c>
      <c r="C449" t="s">
        <v>51</v>
      </c>
      <c r="D449" t="str">
        <f t="shared" si="19"/>
        <v>TSLA | sellingGeneralAndAdministrative</v>
      </c>
      <c r="E449">
        <v>922232000</v>
      </c>
      <c r="F449">
        <v>1432189000</v>
      </c>
      <c r="G449">
        <v>2477000000</v>
      </c>
      <c r="H449">
        <v>2835000000</v>
      </c>
      <c r="I449">
        <v>2646000000</v>
      </c>
      <c r="J449">
        <v>3145000000</v>
      </c>
      <c r="K449">
        <v>4517000000</v>
      </c>
      <c r="L449">
        <v>3946000000</v>
      </c>
      <c r="M449">
        <v>4800000000</v>
      </c>
    </row>
    <row r="450" spans="1:13" x14ac:dyDescent="0.25">
      <c r="A450">
        <f t="shared" si="20"/>
        <v>8</v>
      </c>
      <c r="B450" t="str">
        <f t="shared" si="18"/>
        <v>TSLA</v>
      </c>
      <c r="C450" t="s">
        <v>52</v>
      </c>
      <c r="D450" t="str">
        <f t="shared" si="19"/>
        <v>TSLA | researchAndDevelopment</v>
      </c>
      <c r="E450">
        <v>717900000</v>
      </c>
      <c r="F450">
        <v>834408000</v>
      </c>
      <c r="G450">
        <v>1378000000</v>
      </c>
      <c r="H450">
        <v>1460000000</v>
      </c>
      <c r="I450">
        <v>1343000000</v>
      </c>
      <c r="J450">
        <v>1491000000</v>
      </c>
      <c r="K450">
        <v>2593000000</v>
      </c>
      <c r="L450">
        <v>3075000000</v>
      </c>
      <c r="M450">
        <v>3969000000</v>
      </c>
    </row>
    <row r="451" spans="1:13" x14ac:dyDescent="0.25">
      <c r="A451">
        <f t="shared" si="20"/>
        <v>8</v>
      </c>
      <c r="B451" t="str">
        <f t="shared" si="18"/>
        <v>TSLA</v>
      </c>
      <c r="C451" t="s">
        <v>53</v>
      </c>
      <c r="D451" t="str">
        <f t="shared" si="19"/>
        <v>TSLA | operatingExpenses</v>
      </c>
      <c r="E451">
        <v>1640132000</v>
      </c>
      <c r="F451">
        <v>2266597000</v>
      </c>
      <c r="G451">
        <v>3855000000</v>
      </c>
      <c r="H451">
        <v>4430000000</v>
      </c>
      <c r="I451">
        <v>4138000000</v>
      </c>
      <c r="J451">
        <v>4636000000</v>
      </c>
      <c r="K451">
        <v>7083000000</v>
      </c>
      <c r="L451">
        <v>7197000000</v>
      </c>
      <c r="M451">
        <v>8769000000</v>
      </c>
    </row>
    <row r="452" spans="1:13" x14ac:dyDescent="0.25">
      <c r="A452">
        <f t="shared" si="20"/>
        <v>8</v>
      </c>
      <c r="B452" t="str">
        <f t="shared" si="18"/>
        <v>TSLA</v>
      </c>
      <c r="C452" t="s">
        <v>54</v>
      </c>
      <c r="D452" t="str">
        <f t="shared" si="19"/>
        <v>TSLA | investmentIncomeNet</v>
      </c>
      <c r="E452">
        <v>1508000</v>
      </c>
      <c r="F452">
        <v>8530000</v>
      </c>
      <c r="G452">
        <v>19686000</v>
      </c>
      <c r="H452">
        <v>24533000</v>
      </c>
      <c r="I452">
        <v>44000000</v>
      </c>
      <c r="J452">
        <v>30000000</v>
      </c>
      <c r="K452">
        <v>56000000</v>
      </c>
      <c r="L452">
        <v>297000000</v>
      </c>
      <c r="M452">
        <v>1066000000</v>
      </c>
    </row>
    <row r="453" spans="1:13" x14ac:dyDescent="0.25">
      <c r="A453">
        <f t="shared" si="20"/>
        <v>8</v>
      </c>
      <c r="B453" t="str">
        <f t="shared" si="18"/>
        <v>TSLA</v>
      </c>
      <c r="C453" t="s">
        <v>55</v>
      </c>
      <c r="D453" t="str">
        <f t="shared" si="19"/>
        <v>TSLA | netInterestIncome</v>
      </c>
      <c r="E453">
        <v>-118851000</v>
      </c>
      <c r="F453">
        <v>-198810000</v>
      </c>
      <c r="G453">
        <v>-471259000</v>
      </c>
      <c r="H453">
        <v>-663071000</v>
      </c>
      <c r="I453">
        <v>-685000000</v>
      </c>
      <c r="J453">
        <v>-748000000</v>
      </c>
      <c r="K453">
        <v>-371000000</v>
      </c>
      <c r="L453">
        <v>-191000000</v>
      </c>
      <c r="M453">
        <v>-156000000</v>
      </c>
    </row>
    <row r="454" spans="1:13" x14ac:dyDescent="0.25">
      <c r="A454">
        <f t="shared" si="20"/>
        <v>8</v>
      </c>
      <c r="B454" t="str">
        <f t="shared" si="18"/>
        <v>TSLA</v>
      </c>
      <c r="C454" t="s">
        <v>56</v>
      </c>
      <c r="D454" t="str">
        <f t="shared" si="19"/>
        <v>TSLA | interestIncome</v>
      </c>
      <c r="F454">
        <v>164180000</v>
      </c>
      <c r="G454">
        <v>-259000</v>
      </c>
      <c r="H454">
        <v>-71000</v>
      </c>
      <c r="I454">
        <v>44000000</v>
      </c>
      <c r="J454">
        <v>30000000</v>
      </c>
      <c r="K454">
        <v>56000000</v>
      </c>
      <c r="L454">
        <v>41000000</v>
      </c>
      <c r="M454">
        <v>1066000000</v>
      </c>
    </row>
    <row r="455" spans="1:13" x14ac:dyDescent="0.25">
      <c r="A455">
        <f t="shared" si="20"/>
        <v>8</v>
      </c>
      <c r="B455" t="str">
        <f t="shared" si="18"/>
        <v>TSLA</v>
      </c>
      <c r="C455" t="s">
        <v>57</v>
      </c>
      <c r="D455" t="str">
        <f t="shared" si="19"/>
        <v>TSLA | interestExpense</v>
      </c>
      <c r="E455">
        <v>118851000</v>
      </c>
      <c r="F455">
        <v>198810000</v>
      </c>
      <c r="G455">
        <v>471000000</v>
      </c>
      <c r="H455">
        <v>663000000</v>
      </c>
      <c r="I455">
        <v>685000000</v>
      </c>
      <c r="J455">
        <v>748000000</v>
      </c>
      <c r="K455">
        <v>371000000</v>
      </c>
      <c r="L455">
        <v>191000000</v>
      </c>
      <c r="M455">
        <v>156000000</v>
      </c>
    </row>
    <row r="456" spans="1:13" x14ac:dyDescent="0.25">
      <c r="A456">
        <f t="shared" si="20"/>
        <v>8</v>
      </c>
      <c r="B456" t="str">
        <f t="shared" si="18"/>
        <v>TSLA</v>
      </c>
      <c r="C456" t="s">
        <v>58</v>
      </c>
      <c r="D456" t="str">
        <f t="shared" si="19"/>
        <v>TSLA | nonInterestIncome</v>
      </c>
      <c r="E456">
        <v>-55765000</v>
      </c>
      <c r="F456">
        <v>756309000</v>
      </c>
      <c r="G456">
        <v>948469000</v>
      </c>
      <c r="H456">
        <v>22184879000</v>
      </c>
      <c r="I456">
        <v>-98000000</v>
      </c>
      <c r="J456">
        <v>-336000000</v>
      </c>
      <c r="K456">
        <v>-55000000</v>
      </c>
      <c r="L456">
        <v>-81000000</v>
      </c>
      <c r="M456">
        <v>96917000000</v>
      </c>
    </row>
    <row r="457" spans="1:13" x14ac:dyDescent="0.25">
      <c r="A457">
        <f t="shared" si="20"/>
        <v>8</v>
      </c>
      <c r="B457" t="str">
        <f t="shared" si="18"/>
        <v>TSLA</v>
      </c>
      <c r="C457" t="s">
        <v>59</v>
      </c>
      <c r="D457" t="str">
        <f t="shared" si="19"/>
        <v>TSLA | otherNonOperatingIncome</v>
      </c>
      <c r="E457">
        <v>-41652000</v>
      </c>
      <c r="F457">
        <v>111272000</v>
      </c>
      <c r="G457">
        <v>-125000000</v>
      </c>
      <c r="H457">
        <v>22000000</v>
      </c>
      <c r="I457">
        <v>45000000</v>
      </c>
      <c r="J457">
        <v>-122000000</v>
      </c>
      <c r="K457">
        <v>135000000</v>
      </c>
      <c r="L457">
        <v>-43000000</v>
      </c>
      <c r="M457">
        <v>172000000</v>
      </c>
    </row>
    <row r="458" spans="1:13" x14ac:dyDescent="0.25">
      <c r="A458">
        <f t="shared" si="20"/>
        <v>8</v>
      </c>
      <c r="B458" t="str">
        <f t="shared" ref="B458:B505" si="21">IF(C458="grossProfit",C457,B457)</f>
        <v>TSLA</v>
      </c>
      <c r="C458" t="s">
        <v>60</v>
      </c>
      <c r="D458" t="str">
        <f t="shared" si="19"/>
        <v>TSLA | depreciation</v>
      </c>
      <c r="F458">
        <v>477300000</v>
      </c>
      <c r="G458">
        <v>769000000</v>
      </c>
      <c r="H458">
        <v>1110000000</v>
      </c>
      <c r="I458">
        <v>1370000000</v>
      </c>
      <c r="J458">
        <v>1570000000</v>
      </c>
      <c r="K458">
        <v>1910000000</v>
      </c>
      <c r="L458">
        <v>2420000000</v>
      </c>
      <c r="M458">
        <v>3330000000</v>
      </c>
    </row>
    <row r="459" spans="1:13" x14ac:dyDescent="0.25">
      <c r="A459">
        <f t="shared" si="20"/>
        <v>8</v>
      </c>
      <c r="B459" t="str">
        <f t="shared" si="21"/>
        <v>TSLA</v>
      </c>
      <c r="C459" t="s">
        <v>61</v>
      </c>
      <c r="D459" t="str">
        <f t="shared" ref="D459:D505" si="22">CONCATENATE(B459," | ",C459)</f>
        <v>TSLA | depreciationAndAmortization</v>
      </c>
      <c r="E459">
        <v>422590000</v>
      </c>
      <c r="F459">
        <v>947099000</v>
      </c>
      <c r="G459">
        <v>1636003000</v>
      </c>
      <c r="H459">
        <v>66000000</v>
      </c>
      <c r="I459">
        <v>343000000</v>
      </c>
      <c r="J459">
        <v>399000000</v>
      </c>
      <c r="K459">
        <v>466000000</v>
      </c>
      <c r="L459">
        <v>493000000</v>
      </c>
      <c r="M459">
        <v>506000000</v>
      </c>
    </row>
    <row r="460" spans="1:13" x14ac:dyDescent="0.25">
      <c r="A460">
        <f t="shared" ref="A460:A505" si="23">IF(B460=B459,A459,A459+1)</f>
        <v>8</v>
      </c>
      <c r="B460" t="str">
        <f t="shared" si="21"/>
        <v>TSLA</v>
      </c>
      <c r="C460" t="s">
        <v>62</v>
      </c>
      <c r="D460" t="str">
        <f t="shared" si="22"/>
        <v>TSLA | incomeBeforeTax</v>
      </c>
      <c r="E460">
        <v>-875624000</v>
      </c>
      <c r="F460">
        <v>-648216000</v>
      </c>
      <c r="G460">
        <v>-1930000000</v>
      </c>
      <c r="H460">
        <v>-918000000</v>
      </c>
      <c r="I460">
        <v>-752000000</v>
      </c>
      <c r="J460">
        <v>1013000000</v>
      </c>
      <c r="K460">
        <v>6218000000</v>
      </c>
      <c r="L460">
        <v>13688000000</v>
      </c>
      <c r="M460">
        <v>9996000000</v>
      </c>
    </row>
    <row r="461" spans="1:13" x14ac:dyDescent="0.25">
      <c r="A461">
        <f t="shared" si="23"/>
        <v>8</v>
      </c>
      <c r="B461" t="str">
        <f t="shared" si="21"/>
        <v>TSLA</v>
      </c>
      <c r="C461" t="s">
        <v>63</v>
      </c>
      <c r="D461" t="str">
        <f t="shared" si="22"/>
        <v>TSLA | incomeTaxExpense</v>
      </c>
      <c r="E461">
        <v>13039000</v>
      </c>
      <c r="F461">
        <v>26698000</v>
      </c>
      <c r="G461">
        <v>32000000</v>
      </c>
      <c r="H461">
        <v>58000000</v>
      </c>
      <c r="I461">
        <v>110000000</v>
      </c>
      <c r="J461">
        <v>292000000</v>
      </c>
      <c r="K461">
        <v>699000000</v>
      </c>
      <c r="L461">
        <v>1130000000</v>
      </c>
      <c r="M461">
        <v>-5001000000</v>
      </c>
    </row>
    <row r="462" spans="1:13" x14ac:dyDescent="0.25">
      <c r="A462">
        <f t="shared" si="23"/>
        <v>8</v>
      </c>
      <c r="B462" t="str">
        <f t="shared" si="21"/>
        <v>TSLA</v>
      </c>
      <c r="C462" t="s">
        <v>64</v>
      </c>
      <c r="D462" t="str">
        <f t="shared" si="22"/>
        <v>TSLA | interestAndDebtExpense</v>
      </c>
      <c r="E462">
        <v>118851000</v>
      </c>
      <c r="F462">
        <v>198810000</v>
      </c>
      <c r="G462">
        <v>471259000</v>
      </c>
      <c r="H462">
        <v>663071000</v>
      </c>
      <c r="I462">
        <v>685000000</v>
      </c>
      <c r="J462">
        <v>853000000</v>
      </c>
      <c r="K462">
        <v>371000000</v>
      </c>
      <c r="L462">
        <v>191000000</v>
      </c>
      <c r="M462">
        <v>156000000</v>
      </c>
    </row>
    <row r="463" spans="1:13" x14ac:dyDescent="0.25">
      <c r="A463">
        <f t="shared" si="23"/>
        <v>8</v>
      </c>
      <c r="B463" t="str">
        <f t="shared" si="21"/>
        <v>TSLA</v>
      </c>
      <c r="C463" t="s">
        <v>65</v>
      </c>
      <c r="D463" t="str">
        <f t="shared" si="22"/>
        <v>TSLA | netIncomeFromContinuingOperations</v>
      </c>
      <c r="E463">
        <v>-888663000</v>
      </c>
      <c r="F463">
        <v>-773046000</v>
      </c>
      <c r="G463">
        <v>-2240578000</v>
      </c>
      <c r="H463">
        <v>-1062582000</v>
      </c>
      <c r="I463">
        <v>-775000000</v>
      </c>
      <c r="J463">
        <v>862000000</v>
      </c>
      <c r="K463">
        <v>5644000000</v>
      </c>
      <c r="L463">
        <v>12587000000</v>
      </c>
      <c r="M463">
        <v>14974000000</v>
      </c>
    </row>
    <row r="464" spans="1:13" x14ac:dyDescent="0.25">
      <c r="A464">
        <f t="shared" si="23"/>
        <v>8</v>
      </c>
      <c r="B464" t="str">
        <f t="shared" si="21"/>
        <v>TSLA</v>
      </c>
      <c r="C464" t="s">
        <v>66</v>
      </c>
      <c r="D464" t="str">
        <f t="shared" si="22"/>
        <v>TSLA | comprehensiveIncomeNetOfTax</v>
      </c>
      <c r="E464">
        <v>-892197000</v>
      </c>
      <c r="F464">
        <v>-695098000</v>
      </c>
      <c r="G464">
        <v>-1905000000</v>
      </c>
      <c r="H464">
        <v>-1018000000</v>
      </c>
      <c r="I464">
        <v>-890000000</v>
      </c>
      <c r="J464">
        <v>1120000000</v>
      </c>
      <c r="K464">
        <v>5210000000</v>
      </c>
      <c r="L464">
        <v>12141000000</v>
      </c>
      <c r="M464">
        <v>15215000000</v>
      </c>
    </row>
    <row r="465" spans="1:13" x14ac:dyDescent="0.25">
      <c r="A465">
        <f t="shared" si="23"/>
        <v>8</v>
      </c>
      <c r="B465" t="str">
        <f t="shared" si="21"/>
        <v>TSLA</v>
      </c>
      <c r="C465" t="s">
        <v>67</v>
      </c>
      <c r="D465" t="str">
        <f t="shared" si="22"/>
        <v>TSLA | ebit</v>
      </c>
      <c r="E465">
        <v>-756773000</v>
      </c>
      <c r="F465">
        <v>-449406000</v>
      </c>
      <c r="G465">
        <v>-1459000000</v>
      </c>
      <c r="H465">
        <v>-255000000</v>
      </c>
      <c r="I465">
        <v>-67000000</v>
      </c>
      <c r="J465">
        <v>1761000000</v>
      </c>
      <c r="K465">
        <v>6589000000</v>
      </c>
      <c r="L465">
        <v>13879000000</v>
      </c>
      <c r="M465">
        <v>10152000000</v>
      </c>
    </row>
    <row r="466" spans="1:13" x14ac:dyDescent="0.25">
      <c r="A466">
        <f t="shared" si="23"/>
        <v>8</v>
      </c>
      <c r="B466" t="str">
        <f t="shared" si="21"/>
        <v>TSLA</v>
      </c>
      <c r="C466" t="s">
        <v>68</v>
      </c>
      <c r="D466" t="str">
        <f t="shared" si="22"/>
        <v>TSLA | ebitda</v>
      </c>
      <c r="E466">
        <v>-334183000</v>
      </c>
      <c r="F466">
        <v>497693000</v>
      </c>
      <c r="G466">
        <v>177003000</v>
      </c>
      <c r="H466">
        <v>-189000000</v>
      </c>
      <c r="I466">
        <v>276000000</v>
      </c>
      <c r="J466">
        <v>2160000000</v>
      </c>
      <c r="K466">
        <v>7055000000</v>
      </c>
      <c r="L466">
        <v>14372000000</v>
      </c>
      <c r="M466">
        <v>10658000000</v>
      </c>
    </row>
    <row r="467" spans="1:13" x14ac:dyDescent="0.25">
      <c r="A467">
        <f t="shared" si="23"/>
        <v>8</v>
      </c>
      <c r="B467" t="str">
        <f t="shared" si="21"/>
        <v>TSLA</v>
      </c>
      <c r="C467" t="s">
        <v>69</v>
      </c>
      <c r="D467" t="str">
        <f t="shared" si="22"/>
        <v>TSLA | netIncome</v>
      </c>
      <c r="E467">
        <v>-888663000</v>
      </c>
      <c r="F467">
        <v>-674914000</v>
      </c>
      <c r="G467">
        <v>-1962000000</v>
      </c>
      <c r="H467">
        <v>-976000000</v>
      </c>
      <c r="I467">
        <v>-862000000</v>
      </c>
      <c r="J467">
        <v>721000000</v>
      </c>
      <c r="K467">
        <v>5519000000</v>
      </c>
      <c r="L467">
        <v>12556000000</v>
      </c>
      <c r="M467">
        <v>14997000000</v>
      </c>
    </row>
    <row r="468" spans="1:13" x14ac:dyDescent="0.25">
      <c r="A468">
        <f t="shared" si="23"/>
        <v>8</v>
      </c>
      <c r="B468" t="str">
        <f t="shared" si="21"/>
        <v>TSLA</v>
      </c>
      <c r="C468" t="s">
        <v>144</v>
      </c>
      <c r="D468" t="str">
        <f t="shared" si="22"/>
        <v>TSLA | reportedEPS</v>
      </c>
    </row>
    <row r="469" spans="1:13" x14ac:dyDescent="0.25">
      <c r="A469">
        <f>IF(B469=B467,A467,A467+1)</f>
        <v>8</v>
      </c>
      <c r="B469" t="str">
        <f>IF(C469="grossProfit",C467,B467)</f>
        <v>TSLA</v>
      </c>
      <c r="C469" t="s">
        <v>103</v>
      </c>
      <c r="D469" t="str">
        <f t="shared" si="22"/>
        <v>TSLA | TSLA</v>
      </c>
      <c r="E469" t="s">
        <v>78</v>
      </c>
      <c r="F469" t="s">
        <v>77</v>
      </c>
      <c r="G469" t="s">
        <v>76</v>
      </c>
      <c r="H469" t="s">
        <v>75</v>
      </c>
      <c r="I469" t="s">
        <v>74</v>
      </c>
      <c r="J469" t="s">
        <v>73</v>
      </c>
      <c r="K469" t="s">
        <v>72</v>
      </c>
      <c r="L469" t="s">
        <v>71</v>
      </c>
      <c r="M469" t="s">
        <v>70</v>
      </c>
    </row>
    <row r="470" spans="1:13" x14ac:dyDescent="0.25">
      <c r="A470">
        <f t="shared" si="23"/>
        <v>8</v>
      </c>
      <c r="B470" t="str">
        <f t="shared" si="21"/>
        <v>TSLA</v>
      </c>
      <c r="C470" t="s">
        <v>35</v>
      </c>
      <c r="D470" t="str">
        <f t="shared" si="22"/>
        <v>TSLA | totalAssets</v>
      </c>
      <c r="E470">
        <v>8067939000</v>
      </c>
      <c r="F470">
        <v>22664076000</v>
      </c>
      <c r="G470">
        <v>28655372000</v>
      </c>
      <c r="H470">
        <v>29740000000</v>
      </c>
      <c r="I470">
        <v>34309000000</v>
      </c>
      <c r="J470">
        <v>52148000000</v>
      </c>
      <c r="K470">
        <v>62131000000</v>
      </c>
      <c r="L470">
        <v>82338000000</v>
      </c>
      <c r="M470">
        <v>106618000000</v>
      </c>
    </row>
    <row r="471" spans="1:13" x14ac:dyDescent="0.25">
      <c r="A471">
        <f t="shared" si="23"/>
        <v>8</v>
      </c>
      <c r="B471" t="str">
        <f t="shared" si="21"/>
        <v>TSLA</v>
      </c>
      <c r="C471" t="s">
        <v>34</v>
      </c>
      <c r="D471" t="str">
        <f t="shared" si="22"/>
        <v>TSLA | totalCurrentAssets</v>
      </c>
      <c r="E471">
        <v>2782006000</v>
      </c>
      <c r="F471">
        <v>6259796000</v>
      </c>
      <c r="G471">
        <v>6570520000</v>
      </c>
      <c r="H471">
        <v>8307000000</v>
      </c>
      <c r="I471">
        <v>12103000000</v>
      </c>
      <c r="J471">
        <v>26717000000</v>
      </c>
      <c r="K471">
        <v>27100000000</v>
      </c>
      <c r="L471">
        <v>40917000000</v>
      </c>
      <c r="M471">
        <v>49616000000</v>
      </c>
    </row>
    <row r="472" spans="1:13" x14ac:dyDescent="0.25">
      <c r="A472">
        <f t="shared" si="23"/>
        <v>8</v>
      </c>
      <c r="B472" t="str">
        <f t="shared" si="21"/>
        <v>TSLA</v>
      </c>
      <c r="C472" t="s">
        <v>33</v>
      </c>
      <c r="D472" t="str">
        <f t="shared" si="22"/>
        <v>TSLA | cashAndCashEquivalentsAtCarryingValue</v>
      </c>
      <c r="E472">
        <v>1196908000</v>
      </c>
      <c r="F472">
        <v>3393000000</v>
      </c>
      <c r="G472">
        <v>3368000000</v>
      </c>
      <c r="H472">
        <v>3686000000</v>
      </c>
      <c r="I472">
        <v>6268000000</v>
      </c>
      <c r="J472">
        <v>19384000000</v>
      </c>
      <c r="K472">
        <v>17576000000</v>
      </c>
      <c r="L472">
        <v>16253000000</v>
      </c>
      <c r="M472">
        <v>16398000000</v>
      </c>
    </row>
    <row r="473" spans="1:13" x14ac:dyDescent="0.25">
      <c r="A473">
        <f t="shared" si="23"/>
        <v>8</v>
      </c>
      <c r="B473" t="str">
        <f t="shared" si="21"/>
        <v>TSLA</v>
      </c>
      <c r="C473" t="s">
        <v>32</v>
      </c>
      <c r="D473" t="str">
        <f t="shared" si="22"/>
        <v>TSLA | cashAndShortTermInvestments</v>
      </c>
      <c r="E473">
        <v>1196908000</v>
      </c>
      <c r="F473">
        <v>3393216000</v>
      </c>
      <c r="G473">
        <v>3367914000</v>
      </c>
      <c r="H473">
        <v>3685618000</v>
      </c>
      <c r="I473">
        <v>6268000000</v>
      </c>
      <c r="J473">
        <v>19384000000</v>
      </c>
      <c r="K473">
        <v>17707000000</v>
      </c>
      <c r="L473">
        <v>22185000000</v>
      </c>
      <c r="M473">
        <v>29094000000</v>
      </c>
    </row>
    <row r="474" spans="1:13" x14ac:dyDescent="0.25">
      <c r="A474">
        <f t="shared" si="23"/>
        <v>8</v>
      </c>
      <c r="B474" t="str">
        <f t="shared" si="21"/>
        <v>TSLA</v>
      </c>
      <c r="C474" t="s">
        <v>31</v>
      </c>
      <c r="D474" t="str">
        <f t="shared" si="22"/>
        <v>TSLA | inventory</v>
      </c>
      <c r="E474">
        <v>1277838000</v>
      </c>
      <c r="F474">
        <v>2067454000</v>
      </c>
      <c r="G474">
        <v>2263537000</v>
      </c>
      <c r="H474">
        <v>3113000000</v>
      </c>
      <c r="I474">
        <v>3552000000</v>
      </c>
      <c r="J474">
        <v>4101000000</v>
      </c>
      <c r="K474">
        <v>5757000000</v>
      </c>
      <c r="L474">
        <v>12839000000</v>
      </c>
      <c r="M474">
        <v>13626000000</v>
      </c>
    </row>
    <row r="475" spans="1:13" x14ac:dyDescent="0.25">
      <c r="A475">
        <f t="shared" si="23"/>
        <v>8</v>
      </c>
      <c r="B475" t="str">
        <f t="shared" si="21"/>
        <v>TSLA</v>
      </c>
      <c r="C475" t="s">
        <v>30</v>
      </c>
      <c r="D475" t="str">
        <f t="shared" si="22"/>
        <v>TSLA | currentNetReceivables</v>
      </c>
      <c r="E475">
        <v>168965000</v>
      </c>
      <c r="F475">
        <v>499142000</v>
      </c>
      <c r="G475">
        <v>515381000</v>
      </c>
      <c r="H475">
        <v>949022000</v>
      </c>
      <c r="I475">
        <v>1324000000</v>
      </c>
      <c r="J475">
        <v>1895000000</v>
      </c>
      <c r="K475">
        <v>1924000000</v>
      </c>
      <c r="L475">
        <v>2959000000</v>
      </c>
      <c r="M475">
        <v>3508000000</v>
      </c>
    </row>
    <row r="476" spans="1:13" x14ac:dyDescent="0.25">
      <c r="A476">
        <f t="shared" si="23"/>
        <v>8</v>
      </c>
      <c r="B476" t="str">
        <f t="shared" si="21"/>
        <v>TSLA</v>
      </c>
      <c r="C476" t="s">
        <v>29</v>
      </c>
      <c r="D476" t="str">
        <f t="shared" si="22"/>
        <v>TSLA | totalNonCurrentAssets</v>
      </c>
      <c r="E476">
        <v>3416156000</v>
      </c>
      <c r="F476">
        <v>7350320000</v>
      </c>
      <c r="G476">
        <v>11620758000</v>
      </c>
      <c r="H476">
        <v>13072152000</v>
      </c>
      <c r="I476">
        <v>15251000000</v>
      </c>
      <c r="J476">
        <v>18134000000</v>
      </c>
      <c r="K476">
        <v>25281000000</v>
      </c>
      <c r="L476">
        <v>32209000000</v>
      </c>
      <c r="M476">
        <v>46472000000</v>
      </c>
    </row>
    <row r="477" spans="1:13" x14ac:dyDescent="0.25">
      <c r="A477">
        <f t="shared" si="23"/>
        <v>8</v>
      </c>
      <c r="B477" t="str">
        <f t="shared" si="21"/>
        <v>TSLA</v>
      </c>
      <c r="C477" t="s">
        <v>28</v>
      </c>
      <c r="D477" t="str">
        <f t="shared" si="22"/>
        <v>TSLA | propertyPlantEquipment</v>
      </c>
      <c r="E477">
        <v>3403334000</v>
      </c>
      <c r="F477">
        <v>5982957000</v>
      </c>
      <c r="G477">
        <v>10027522000</v>
      </c>
      <c r="H477">
        <v>11330000000</v>
      </c>
      <c r="I477">
        <v>10396000000</v>
      </c>
      <c r="J477">
        <v>12747000000</v>
      </c>
      <c r="K477">
        <v>18884000000</v>
      </c>
      <c r="L477">
        <v>23548000000</v>
      </c>
      <c r="M477">
        <v>29725000000</v>
      </c>
    </row>
    <row r="478" spans="1:13" x14ac:dyDescent="0.25">
      <c r="A478">
        <f t="shared" si="23"/>
        <v>8</v>
      </c>
      <c r="B478" t="str">
        <f t="shared" si="21"/>
        <v>TSLA</v>
      </c>
      <c r="C478" t="s">
        <v>27</v>
      </c>
      <c r="D478" t="str">
        <f t="shared" si="22"/>
        <v>TSLA | accumulatedDepreciationAmortizationPPE</v>
      </c>
      <c r="E478">
        <v>571126000</v>
      </c>
      <c r="F478">
        <v>997485000</v>
      </c>
      <c r="G478">
        <v>1723794000</v>
      </c>
      <c r="H478">
        <v>2699000000</v>
      </c>
      <c r="I478">
        <v>3734000000</v>
      </c>
      <c r="J478">
        <v>5117000000</v>
      </c>
      <c r="K478">
        <v>6731000000</v>
      </c>
      <c r="L478">
        <v>9041000000</v>
      </c>
      <c r="M478">
        <v>12057000000</v>
      </c>
    </row>
    <row r="479" spans="1:13" x14ac:dyDescent="0.25">
      <c r="A479">
        <f t="shared" si="23"/>
        <v>8</v>
      </c>
      <c r="B479" t="str">
        <f t="shared" si="21"/>
        <v>TSLA</v>
      </c>
      <c r="C479" t="s">
        <v>26</v>
      </c>
      <c r="D479" t="str">
        <f t="shared" si="22"/>
        <v>TSLA | intangibleAssets</v>
      </c>
      <c r="E479">
        <v>12816000</v>
      </c>
      <c r="F479">
        <v>376145000</v>
      </c>
      <c r="G479">
        <v>421739000</v>
      </c>
      <c r="H479">
        <v>350000000</v>
      </c>
      <c r="I479">
        <v>537000000</v>
      </c>
      <c r="J479">
        <v>520000000</v>
      </c>
      <c r="K479">
        <v>457000000</v>
      </c>
      <c r="L479">
        <v>409000000</v>
      </c>
      <c r="M479">
        <v>431000000</v>
      </c>
    </row>
    <row r="480" spans="1:13" x14ac:dyDescent="0.25">
      <c r="A480">
        <f t="shared" si="23"/>
        <v>8</v>
      </c>
      <c r="B480" t="str">
        <f t="shared" si="21"/>
        <v>TSLA</v>
      </c>
      <c r="C480" t="s">
        <v>25</v>
      </c>
      <c r="D480" t="str">
        <f t="shared" si="22"/>
        <v>TSLA | intangibleAssetsExcludingGoodwill</v>
      </c>
      <c r="E480">
        <v>12816000</v>
      </c>
      <c r="F480">
        <v>376145000</v>
      </c>
      <c r="G480">
        <v>361502000</v>
      </c>
      <c r="H480">
        <v>282000000</v>
      </c>
      <c r="I480">
        <v>339000000</v>
      </c>
      <c r="J480">
        <v>313000000</v>
      </c>
      <c r="K480">
        <v>257000000</v>
      </c>
      <c r="L480">
        <v>215000000</v>
      </c>
      <c r="M480">
        <v>178000000</v>
      </c>
    </row>
    <row r="481" spans="1:13" x14ac:dyDescent="0.25">
      <c r="A481">
        <f t="shared" si="23"/>
        <v>8</v>
      </c>
      <c r="B481" t="str">
        <f t="shared" si="21"/>
        <v>TSLA</v>
      </c>
      <c r="C481" t="s">
        <v>24</v>
      </c>
      <c r="D481" t="str">
        <f t="shared" si="22"/>
        <v>TSLA | goodwill</v>
      </c>
      <c r="G481">
        <v>60237000</v>
      </c>
      <c r="H481">
        <v>68000000</v>
      </c>
      <c r="I481">
        <v>198000000</v>
      </c>
      <c r="J481">
        <v>207000000</v>
      </c>
      <c r="K481">
        <v>200000000</v>
      </c>
      <c r="L481">
        <v>194000000</v>
      </c>
      <c r="M481">
        <v>253000000</v>
      </c>
    </row>
    <row r="482" spans="1:13" x14ac:dyDescent="0.25">
      <c r="A482">
        <f t="shared" si="23"/>
        <v>8</v>
      </c>
      <c r="B482" t="str">
        <f t="shared" si="21"/>
        <v>TSLA</v>
      </c>
      <c r="C482" t="s">
        <v>23</v>
      </c>
      <c r="D482" t="str">
        <f t="shared" si="22"/>
        <v>TSLA | investments</v>
      </c>
      <c r="E482">
        <v>7300000</v>
      </c>
      <c r="K482">
        <v>131000000</v>
      </c>
      <c r="L482">
        <v>22185000000</v>
      </c>
      <c r="M482">
        <v>29094000000</v>
      </c>
    </row>
    <row r="483" spans="1:13" x14ac:dyDescent="0.25">
      <c r="A483">
        <f t="shared" si="23"/>
        <v>8</v>
      </c>
      <c r="B483" t="str">
        <f t="shared" si="21"/>
        <v>TSLA</v>
      </c>
      <c r="C483" t="s">
        <v>22</v>
      </c>
      <c r="D483" t="str">
        <f t="shared" si="22"/>
        <v>TSLA | longTermInvestments</v>
      </c>
      <c r="F483">
        <v>506302000</v>
      </c>
      <c r="G483">
        <v>456652000</v>
      </c>
      <c r="H483">
        <v>421548000</v>
      </c>
      <c r="I483">
        <v>1000000</v>
      </c>
    </row>
    <row r="484" spans="1:13" x14ac:dyDescent="0.25">
      <c r="A484">
        <f t="shared" si="23"/>
        <v>8</v>
      </c>
      <c r="B484" t="str">
        <f t="shared" si="21"/>
        <v>TSLA</v>
      </c>
      <c r="C484" t="s">
        <v>21</v>
      </c>
      <c r="D484" t="str">
        <f t="shared" si="22"/>
        <v>TSLA | shortTermInvestments</v>
      </c>
      <c r="E484">
        <v>16700000</v>
      </c>
      <c r="F484">
        <v>216000</v>
      </c>
      <c r="G484">
        <v>155323000</v>
      </c>
      <c r="H484">
        <v>807767000</v>
      </c>
      <c r="I484">
        <v>671000000</v>
      </c>
      <c r="K484">
        <v>131000000</v>
      </c>
      <c r="L484">
        <v>5932000000</v>
      </c>
      <c r="M484">
        <v>12696000000</v>
      </c>
    </row>
    <row r="485" spans="1:13" x14ac:dyDescent="0.25">
      <c r="A485">
        <f t="shared" si="23"/>
        <v>8</v>
      </c>
      <c r="B485" t="str">
        <f t="shared" si="21"/>
        <v>TSLA</v>
      </c>
      <c r="C485" t="s">
        <v>20</v>
      </c>
      <c r="D485" t="str">
        <f t="shared" si="22"/>
        <v>TSLA | otherCurrentAssets</v>
      </c>
      <c r="E485">
        <v>115667000</v>
      </c>
      <c r="F485">
        <v>194465000</v>
      </c>
      <c r="G485">
        <v>268365000</v>
      </c>
      <c r="H485">
        <v>366000000</v>
      </c>
      <c r="I485">
        <v>959000000</v>
      </c>
      <c r="J485">
        <v>1346000000</v>
      </c>
      <c r="K485">
        <v>1723000000</v>
      </c>
      <c r="L485">
        <v>2941000000</v>
      </c>
      <c r="M485">
        <v>3388000000</v>
      </c>
    </row>
    <row r="486" spans="1:13" x14ac:dyDescent="0.25">
      <c r="A486">
        <f t="shared" si="23"/>
        <v>8</v>
      </c>
      <c r="B486" t="str">
        <f t="shared" si="21"/>
        <v>TSLA</v>
      </c>
      <c r="C486" t="s">
        <v>19</v>
      </c>
      <c r="D486" t="str">
        <f t="shared" si="22"/>
        <v>TSLA | otherNonCurrentAssets</v>
      </c>
      <c r="E486">
        <v>46858000</v>
      </c>
      <c r="F486">
        <v>216751000</v>
      </c>
      <c r="G486">
        <v>273123000</v>
      </c>
      <c r="H486">
        <v>572000000</v>
      </c>
      <c r="I486">
        <v>1470000000</v>
      </c>
      <c r="J486">
        <v>1536000000</v>
      </c>
      <c r="K486">
        <v>2138000000</v>
      </c>
      <c r="L486">
        <v>3865000000</v>
      </c>
      <c r="M486">
        <v>4531000000</v>
      </c>
    </row>
    <row r="487" spans="1:13" x14ac:dyDescent="0.25">
      <c r="A487">
        <f t="shared" si="23"/>
        <v>8</v>
      </c>
      <c r="B487" t="str">
        <f t="shared" si="21"/>
        <v>TSLA</v>
      </c>
      <c r="C487" t="s">
        <v>18</v>
      </c>
      <c r="D487" t="str">
        <f t="shared" si="22"/>
        <v>TSLA | totalLiabilities</v>
      </c>
      <c r="E487">
        <v>6936950000</v>
      </c>
      <c r="F487">
        <v>16750167000</v>
      </c>
      <c r="G487">
        <v>23022980000</v>
      </c>
      <c r="H487">
        <v>23427000000</v>
      </c>
      <c r="I487">
        <v>26199000000</v>
      </c>
      <c r="J487">
        <v>28418000000</v>
      </c>
      <c r="K487">
        <v>30548000000</v>
      </c>
      <c r="L487">
        <v>36440000000</v>
      </c>
      <c r="M487">
        <v>43009000000</v>
      </c>
    </row>
    <row r="488" spans="1:13" x14ac:dyDescent="0.25">
      <c r="A488">
        <f t="shared" si="23"/>
        <v>8</v>
      </c>
      <c r="B488" t="str">
        <f t="shared" si="21"/>
        <v>TSLA</v>
      </c>
      <c r="C488" t="s">
        <v>17</v>
      </c>
      <c r="D488" t="str">
        <f t="shared" si="22"/>
        <v>TSLA | totalCurrentLiabilities</v>
      </c>
      <c r="E488">
        <v>2811035000</v>
      </c>
      <c r="F488">
        <v>5827005000</v>
      </c>
      <c r="G488">
        <v>7674670000</v>
      </c>
      <c r="H488">
        <v>9993000000</v>
      </c>
      <c r="I488">
        <v>10667000000</v>
      </c>
      <c r="J488">
        <v>14248000000</v>
      </c>
      <c r="K488">
        <v>19705000000</v>
      </c>
      <c r="L488">
        <v>26709000000</v>
      </c>
      <c r="M488">
        <v>28748000000</v>
      </c>
    </row>
    <row r="489" spans="1:13" x14ac:dyDescent="0.25">
      <c r="A489">
        <f t="shared" si="23"/>
        <v>8</v>
      </c>
      <c r="B489" t="str">
        <f t="shared" si="21"/>
        <v>TSLA</v>
      </c>
      <c r="C489" t="s">
        <v>16</v>
      </c>
      <c r="D489" t="str">
        <f t="shared" si="22"/>
        <v>TSLA | currentAccountsPayable</v>
      </c>
      <c r="E489">
        <v>916148000</v>
      </c>
      <c r="F489">
        <v>1860341000</v>
      </c>
      <c r="G489">
        <v>2390250000</v>
      </c>
      <c r="H489">
        <v>3405000000</v>
      </c>
      <c r="I489">
        <v>3771000000</v>
      </c>
      <c r="J489">
        <v>6051000000</v>
      </c>
      <c r="K489">
        <v>10025000000</v>
      </c>
      <c r="L489">
        <v>15255000000</v>
      </c>
      <c r="M489">
        <v>14431000000</v>
      </c>
    </row>
    <row r="490" spans="1:13" x14ac:dyDescent="0.25">
      <c r="A490">
        <f t="shared" si="23"/>
        <v>8</v>
      </c>
      <c r="B490" t="str">
        <f t="shared" si="21"/>
        <v>TSLA</v>
      </c>
      <c r="C490" t="s">
        <v>15</v>
      </c>
      <c r="D490" t="str">
        <f t="shared" si="22"/>
        <v>TSLA | deferredRevenue</v>
      </c>
      <c r="E490">
        <v>679132000</v>
      </c>
      <c r="F490">
        <v>1614916000</v>
      </c>
      <c r="G490">
        <v>2193052000</v>
      </c>
      <c r="H490">
        <v>2504000000</v>
      </c>
      <c r="I490">
        <v>3842000000</v>
      </c>
      <c r="J490">
        <v>4668000000</v>
      </c>
      <c r="K490">
        <v>5881000000</v>
      </c>
      <c r="L490">
        <v>7464000000</v>
      </c>
      <c r="M490">
        <v>9651000000</v>
      </c>
    </row>
    <row r="491" spans="1:13" x14ac:dyDescent="0.25">
      <c r="A491">
        <f t="shared" si="23"/>
        <v>8</v>
      </c>
      <c r="B491" t="str">
        <f t="shared" si="21"/>
        <v>TSLA</v>
      </c>
      <c r="C491" t="s">
        <v>14</v>
      </c>
      <c r="D491" t="str">
        <f t="shared" si="22"/>
        <v>TSLA | currentDebt</v>
      </c>
      <c r="E491">
        <v>633166000</v>
      </c>
      <c r="F491">
        <v>1114652000</v>
      </c>
      <c r="G491">
        <v>799849000</v>
      </c>
      <c r="H491">
        <v>2222000000</v>
      </c>
      <c r="I491">
        <v>1399000000</v>
      </c>
      <c r="J491">
        <v>1758000000</v>
      </c>
      <c r="K491">
        <v>1088000000</v>
      </c>
      <c r="L491">
        <v>1016000000</v>
      </c>
      <c r="M491">
        <v>1975000000</v>
      </c>
    </row>
    <row r="492" spans="1:13" x14ac:dyDescent="0.25">
      <c r="A492">
        <f t="shared" si="23"/>
        <v>8</v>
      </c>
      <c r="B492" t="str">
        <f t="shared" si="21"/>
        <v>TSLA</v>
      </c>
      <c r="C492" t="s">
        <v>13</v>
      </c>
      <c r="D492" t="str">
        <f t="shared" si="22"/>
        <v>TSLA | shortTermDebt</v>
      </c>
      <c r="E492">
        <v>5239000</v>
      </c>
      <c r="F492">
        <v>130441000</v>
      </c>
      <c r="G492">
        <v>3300000</v>
      </c>
      <c r="H492">
        <v>2567699000</v>
      </c>
      <c r="I492">
        <v>785000000</v>
      </c>
      <c r="J492">
        <v>1384000000</v>
      </c>
      <c r="K492">
        <v>587000000</v>
      </c>
      <c r="L492">
        <v>530000000</v>
      </c>
      <c r="M492">
        <v>1577000000</v>
      </c>
    </row>
    <row r="493" spans="1:13" x14ac:dyDescent="0.25">
      <c r="A493">
        <f t="shared" si="23"/>
        <v>8</v>
      </c>
      <c r="B493" t="str">
        <f t="shared" si="21"/>
        <v>TSLA</v>
      </c>
      <c r="C493" t="s">
        <v>12</v>
      </c>
      <c r="D493" t="str">
        <f t="shared" si="22"/>
        <v>TSLA | totalNonCurrentLiabilities</v>
      </c>
      <c r="E493">
        <v>2851456000</v>
      </c>
      <c r="F493">
        <v>8640254000</v>
      </c>
      <c r="G493">
        <v>13083289000</v>
      </c>
      <c r="H493">
        <v>13164200000</v>
      </c>
      <c r="I493">
        <v>6050000000</v>
      </c>
      <c r="J493">
        <v>6962000000</v>
      </c>
      <c r="K493">
        <v>8260000000</v>
      </c>
      <c r="L493">
        <v>10866000000</v>
      </c>
      <c r="M493">
        <v>15250000000</v>
      </c>
    </row>
    <row r="494" spans="1:13" x14ac:dyDescent="0.25">
      <c r="A494">
        <f t="shared" si="23"/>
        <v>8</v>
      </c>
      <c r="B494" t="str">
        <f t="shared" si="21"/>
        <v>TSLA</v>
      </c>
      <c r="C494" t="s">
        <v>11</v>
      </c>
      <c r="D494" t="str">
        <f t="shared" si="22"/>
        <v>TSLA | capitalLeaseObligations</v>
      </c>
      <c r="F494">
        <v>1459684000</v>
      </c>
      <c r="G494">
        <v>1801010000</v>
      </c>
      <c r="H494">
        <v>1855900000</v>
      </c>
      <c r="I494">
        <v>1232000000</v>
      </c>
      <c r="J494">
        <v>1094000000</v>
      </c>
      <c r="K494">
        <v>991000000</v>
      </c>
      <c r="L494">
        <v>568000000</v>
      </c>
      <c r="M494">
        <v>175000000</v>
      </c>
    </row>
    <row r="495" spans="1:13" x14ac:dyDescent="0.25">
      <c r="A495">
        <f t="shared" si="23"/>
        <v>8</v>
      </c>
      <c r="B495" t="str">
        <f t="shared" si="21"/>
        <v>TSLA</v>
      </c>
      <c r="C495" t="s">
        <v>10</v>
      </c>
      <c r="D495" t="str">
        <f t="shared" si="22"/>
        <v>TSLA | longTermDebt</v>
      </c>
      <c r="E495">
        <v>441000000</v>
      </c>
      <c r="F495">
        <v>5892016000</v>
      </c>
      <c r="G495">
        <v>8828985000</v>
      </c>
      <c r="H495">
        <v>8411000000</v>
      </c>
      <c r="I495">
        <v>10402000000</v>
      </c>
      <c r="J495">
        <v>8462000000</v>
      </c>
      <c r="K495">
        <v>4254000000</v>
      </c>
      <c r="L495">
        <v>1029000000</v>
      </c>
      <c r="M495">
        <v>2682000000</v>
      </c>
    </row>
    <row r="496" spans="1:13" x14ac:dyDescent="0.25">
      <c r="A496">
        <f t="shared" si="23"/>
        <v>8</v>
      </c>
      <c r="B496" t="str">
        <f t="shared" si="21"/>
        <v>TSLA</v>
      </c>
      <c r="C496" t="s">
        <v>9</v>
      </c>
      <c r="D496" t="str">
        <f t="shared" si="22"/>
        <v>TSLA | currentLongTermDebt</v>
      </c>
      <c r="E496">
        <v>627927000</v>
      </c>
      <c r="F496">
        <v>984211000</v>
      </c>
      <c r="G496">
        <v>796549000</v>
      </c>
      <c r="H496">
        <v>2567699000</v>
      </c>
      <c r="I496">
        <v>228000000</v>
      </c>
      <c r="J496">
        <v>2132000000</v>
      </c>
      <c r="K496">
        <v>1088000000</v>
      </c>
      <c r="L496">
        <v>1016000000</v>
      </c>
      <c r="M496">
        <v>1975000000</v>
      </c>
    </row>
    <row r="497" spans="1:13" x14ac:dyDescent="0.25">
      <c r="A497">
        <f t="shared" si="23"/>
        <v>8</v>
      </c>
      <c r="B497" t="str">
        <f t="shared" si="21"/>
        <v>TSLA</v>
      </c>
      <c r="C497" t="s">
        <v>8</v>
      </c>
      <c r="D497" t="str">
        <f t="shared" si="22"/>
        <v>TSLA | longTermDebtNoncurrent</v>
      </c>
      <c r="E497">
        <v>1290000000</v>
      </c>
    </row>
    <row r="498" spans="1:13" x14ac:dyDescent="0.25">
      <c r="A498">
        <f t="shared" si="23"/>
        <v>8</v>
      </c>
      <c r="B498" t="str">
        <f t="shared" si="21"/>
        <v>TSLA</v>
      </c>
      <c r="C498" t="s">
        <v>7</v>
      </c>
      <c r="D498" t="str">
        <f t="shared" si="22"/>
        <v>TSLA | shortLongTermDebtTotal</v>
      </c>
      <c r="E498">
        <v>446239000</v>
      </c>
      <c r="F498">
        <v>6022457000</v>
      </c>
      <c r="G498">
        <v>8832285000</v>
      </c>
      <c r="H498">
        <v>8410490000</v>
      </c>
      <c r="I498">
        <v>11187000000</v>
      </c>
      <c r="J498">
        <v>9846000000</v>
      </c>
      <c r="K498">
        <v>4841000000</v>
      </c>
      <c r="L498">
        <v>1559000000</v>
      </c>
      <c r="M498">
        <v>4259000000</v>
      </c>
    </row>
    <row r="499" spans="1:13" x14ac:dyDescent="0.25">
      <c r="A499">
        <f t="shared" si="23"/>
        <v>8</v>
      </c>
      <c r="B499" t="str">
        <f t="shared" si="21"/>
        <v>TSLA</v>
      </c>
      <c r="C499" t="s">
        <v>6</v>
      </c>
      <c r="D499" t="str">
        <f t="shared" si="22"/>
        <v>TSLA | otherCurrentLiabilities</v>
      </c>
      <c r="E499">
        <v>-633166000</v>
      </c>
      <c r="F499">
        <v>84492000</v>
      </c>
      <c r="G499">
        <v>130565000</v>
      </c>
      <c r="H499">
        <v>372000000</v>
      </c>
      <c r="I499">
        <v>260000000</v>
      </c>
      <c r="J499">
        <v>264000000</v>
      </c>
      <c r="K499">
        <v>310000000</v>
      </c>
      <c r="L499">
        <v>354000000</v>
      </c>
      <c r="M499">
        <v>517000000</v>
      </c>
    </row>
    <row r="500" spans="1:13" x14ac:dyDescent="0.25">
      <c r="A500">
        <f t="shared" si="23"/>
        <v>8</v>
      </c>
      <c r="B500" t="str">
        <f t="shared" si="21"/>
        <v>TSLA</v>
      </c>
      <c r="C500" t="s">
        <v>5</v>
      </c>
      <c r="D500" t="str">
        <f t="shared" si="22"/>
        <v>TSLA | otherNonCurrentLiabilities</v>
      </c>
      <c r="E500">
        <v>364976000</v>
      </c>
      <c r="F500">
        <v>1891449000</v>
      </c>
      <c r="G500">
        <v>2442970000</v>
      </c>
      <c r="H500">
        <v>2710000000</v>
      </c>
      <c r="I500">
        <v>2691000000</v>
      </c>
      <c r="J500">
        <v>3330000000</v>
      </c>
      <c r="K500">
        <v>3546000000</v>
      </c>
      <c r="L500">
        <v>5330000000</v>
      </c>
      <c r="M500">
        <v>8153000000</v>
      </c>
    </row>
    <row r="501" spans="1:13" x14ac:dyDescent="0.25">
      <c r="A501">
        <f t="shared" si="23"/>
        <v>8</v>
      </c>
      <c r="B501" t="str">
        <f t="shared" si="21"/>
        <v>TSLA</v>
      </c>
      <c r="C501" t="s">
        <v>4</v>
      </c>
      <c r="D501" t="str">
        <f t="shared" si="22"/>
        <v>TSLA | totalShareholderEquity</v>
      </c>
      <c r="E501">
        <v>1083704000</v>
      </c>
      <c r="F501">
        <v>4752911000</v>
      </c>
      <c r="G501">
        <v>4237242000</v>
      </c>
      <c r="H501">
        <v>4923000000</v>
      </c>
      <c r="I501">
        <v>6618000000</v>
      </c>
      <c r="J501">
        <v>22225000000</v>
      </c>
      <c r="K501">
        <v>30189000000</v>
      </c>
      <c r="L501">
        <v>44704000000</v>
      </c>
      <c r="M501">
        <v>62634000000</v>
      </c>
    </row>
    <row r="502" spans="1:13" x14ac:dyDescent="0.25">
      <c r="A502">
        <f t="shared" si="23"/>
        <v>8</v>
      </c>
      <c r="B502" t="str">
        <f t="shared" si="21"/>
        <v>TSLA</v>
      </c>
      <c r="C502" t="s">
        <v>3</v>
      </c>
      <c r="D502" t="str">
        <f t="shared" si="22"/>
        <v>TSLA | treasuryStock</v>
      </c>
    </row>
    <row r="503" spans="1:13" x14ac:dyDescent="0.25">
      <c r="A503">
        <f t="shared" si="23"/>
        <v>8</v>
      </c>
      <c r="B503" t="str">
        <f t="shared" si="21"/>
        <v>TSLA</v>
      </c>
      <c r="C503" t="s">
        <v>2</v>
      </c>
      <c r="D503" t="str">
        <f t="shared" si="22"/>
        <v>TSLA | retainedEarnings</v>
      </c>
      <c r="E503">
        <v>-2322323000</v>
      </c>
      <c r="F503">
        <v>-2997237000</v>
      </c>
      <c r="G503">
        <v>-4974299000</v>
      </c>
      <c r="H503">
        <v>-5317832000</v>
      </c>
      <c r="I503">
        <v>-6083000000</v>
      </c>
      <c r="J503">
        <v>-5399000000</v>
      </c>
      <c r="K503">
        <v>329000000</v>
      </c>
      <c r="L503">
        <v>12885000000</v>
      </c>
      <c r="M503">
        <v>27882000000</v>
      </c>
    </row>
    <row r="504" spans="1:13" x14ac:dyDescent="0.25">
      <c r="A504">
        <f t="shared" si="23"/>
        <v>8</v>
      </c>
      <c r="B504" t="str">
        <f t="shared" si="21"/>
        <v>TSLA</v>
      </c>
      <c r="C504" t="s">
        <v>1</v>
      </c>
      <c r="D504" t="str">
        <f t="shared" si="22"/>
        <v>TSLA | commonStock</v>
      </c>
      <c r="E504">
        <v>131000</v>
      </c>
      <c r="F504">
        <v>161000</v>
      </c>
      <c r="G504">
        <v>169000</v>
      </c>
      <c r="H504">
        <v>0</v>
      </c>
      <c r="I504">
        <v>1000000</v>
      </c>
      <c r="J504">
        <v>1000000</v>
      </c>
      <c r="K504">
        <v>3000000</v>
      </c>
      <c r="L504">
        <v>3000000</v>
      </c>
      <c r="M504">
        <v>3000000</v>
      </c>
    </row>
    <row r="505" spans="1:13" x14ac:dyDescent="0.25">
      <c r="A505">
        <f t="shared" si="23"/>
        <v>8</v>
      </c>
      <c r="B505" t="str">
        <f t="shared" si="21"/>
        <v>TSLA</v>
      </c>
      <c r="C505" t="s">
        <v>0</v>
      </c>
      <c r="D505" t="str">
        <f t="shared" si="22"/>
        <v>TSLA | commonStockSharesOutstanding</v>
      </c>
      <c r="E505">
        <v>131425000</v>
      </c>
      <c r="F505">
        <v>161561000</v>
      </c>
      <c r="G505">
        <v>168797000</v>
      </c>
      <c r="H505">
        <v>172603000</v>
      </c>
      <c r="I505">
        <v>181000000</v>
      </c>
      <c r="J505">
        <v>960000000</v>
      </c>
      <c r="K505">
        <v>1033000000</v>
      </c>
      <c r="L505">
        <v>3164000000</v>
      </c>
      <c r="M505">
        <v>3185000000</v>
      </c>
    </row>
  </sheetData>
  <autoFilter ref="D1:D507" xr:uid="{BD2B504A-1D8B-4B0B-8C11-911796270656}"/>
  <sortState xmlns:xlrd2="http://schemas.microsoft.com/office/spreadsheetml/2017/richdata2" columnSort="1" ref="C1:M505">
    <sortCondition ref="C1:M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B688-74BB-45CA-83BC-D19CE9A7E29F}">
  <dimension ref="A1:N46"/>
  <sheetViews>
    <sheetView zoomScaleNormal="100" workbookViewId="0"/>
  </sheetViews>
  <sheetFormatPr baseColWidth="10" defaultRowHeight="15" x14ac:dyDescent="0.25"/>
  <cols>
    <col min="3" max="3" width="39.28515625" bestFit="1" customWidth="1"/>
    <col min="4" max="4" width="45.85546875" bestFit="1" customWidth="1"/>
    <col min="5" max="5" width="12" bestFit="1" customWidth="1"/>
    <col min="14" max="14" width="12" bestFit="1" customWidth="1"/>
  </cols>
  <sheetData>
    <row r="1" spans="1:14" x14ac:dyDescent="0.25">
      <c r="A1" s="1" t="str">
        <f>'ANALISIS DE VENTAJA COMPETITIVA'!A1</f>
        <v>GOOGL</v>
      </c>
      <c r="C1" t="s">
        <v>105</v>
      </c>
      <c r="D1" t="s">
        <v>106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</row>
    <row r="3" spans="1:14" x14ac:dyDescent="0.25">
      <c r="A3" t="str">
        <f>+$A$1</f>
        <v>GOOGL</v>
      </c>
      <c r="C3" t="s">
        <v>47</v>
      </c>
      <c r="D3" t="str">
        <f>A3&amp;" | "&amp;C3</f>
        <v>GOOGL | totalRevenue</v>
      </c>
      <c r="E3">
        <f t="shared" ref="E3:M12" si="0">VLOOKUP($D3,BASE_DE_DATOS,COLUMNA,FALSE)</f>
        <v>74989000000</v>
      </c>
      <c r="F3">
        <f t="shared" si="0"/>
        <v>90272000000</v>
      </c>
      <c r="G3">
        <f t="shared" si="0"/>
        <v>110855000000</v>
      </c>
      <c r="H3">
        <f t="shared" si="0"/>
        <v>136819000000</v>
      </c>
      <c r="I3">
        <f t="shared" si="0"/>
        <v>161857000000</v>
      </c>
      <c r="J3">
        <f t="shared" si="0"/>
        <v>182527000000</v>
      </c>
      <c r="K3">
        <f t="shared" si="0"/>
        <v>257637000000</v>
      </c>
      <c r="L3">
        <f t="shared" si="0"/>
        <v>281279000000</v>
      </c>
      <c r="M3">
        <f t="shared" si="0"/>
        <v>305559000000</v>
      </c>
    </row>
    <row r="4" spans="1:14" x14ac:dyDescent="0.25">
      <c r="A4" t="str">
        <f t="shared" ref="A4:A46" si="1">+$A$1</f>
        <v>GOOGL</v>
      </c>
      <c r="C4" t="s">
        <v>48</v>
      </c>
      <c r="D4" t="str">
        <f t="shared" ref="D4:D46" si="2">A4&amp;" | "&amp;C4</f>
        <v>GOOGL | costOfRevenue</v>
      </c>
      <c r="E4">
        <f t="shared" si="0"/>
        <v>28164000000</v>
      </c>
      <c r="F4">
        <f t="shared" si="0"/>
        <v>35138000000</v>
      </c>
      <c r="G4">
        <f t="shared" si="0"/>
        <v>45583000000</v>
      </c>
      <c r="H4">
        <f t="shared" si="0"/>
        <v>59549000000</v>
      </c>
      <c r="I4">
        <f t="shared" si="0"/>
        <v>71896000000</v>
      </c>
      <c r="J4">
        <f t="shared" si="0"/>
        <v>84732000000</v>
      </c>
      <c r="K4">
        <f t="shared" si="0"/>
        <v>110939000000</v>
      </c>
      <c r="L4">
        <f t="shared" si="0"/>
        <v>126203000000</v>
      </c>
      <c r="M4">
        <f t="shared" si="0"/>
        <v>133332000000</v>
      </c>
    </row>
    <row r="5" spans="1:14" x14ac:dyDescent="0.25">
      <c r="A5" t="str">
        <f t="shared" si="1"/>
        <v>GOOGL</v>
      </c>
      <c r="C5" t="s">
        <v>46</v>
      </c>
      <c r="D5" t="str">
        <f t="shared" si="2"/>
        <v>GOOGL | grossProfit</v>
      </c>
      <c r="E5">
        <f t="shared" si="0"/>
        <v>46825000000</v>
      </c>
      <c r="F5">
        <f t="shared" si="0"/>
        <v>55134000000</v>
      </c>
      <c r="G5">
        <f t="shared" si="0"/>
        <v>65272000000</v>
      </c>
      <c r="H5">
        <f t="shared" si="0"/>
        <v>77270000000</v>
      </c>
      <c r="I5">
        <f t="shared" si="0"/>
        <v>89961000000</v>
      </c>
      <c r="J5">
        <f t="shared" si="0"/>
        <v>97795000000</v>
      </c>
      <c r="K5">
        <f t="shared" si="0"/>
        <v>146698000000</v>
      </c>
      <c r="L5">
        <f t="shared" si="0"/>
        <v>155076000000</v>
      </c>
      <c r="M5">
        <f t="shared" si="0"/>
        <v>172227000000</v>
      </c>
    </row>
    <row r="6" spans="1:14" x14ac:dyDescent="0.25">
      <c r="A6" t="str">
        <f t="shared" si="1"/>
        <v>GOOGL</v>
      </c>
      <c r="C6" t="s">
        <v>52</v>
      </c>
      <c r="D6" t="str">
        <f t="shared" si="2"/>
        <v>GOOGL | researchAndDevelopment</v>
      </c>
      <c r="E6">
        <f t="shared" si="0"/>
        <v>12282000000</v>
      </c>
      <c r="F6">
        <f t="shared" si="0"/>
        <v>13948000000</v>
      </c>
      <c r="G6">
        <f t="shared" si="0"/>
        <v>16625000000</v>
      </c>
      <c r="H6">
        <f t="shared" si="0"/>
        <v>21419000000</v>
      </c>
      <c r="I6">
        <f t="shared" si="0"/>
        <v>26018000000</v>
      </c>
      <c r="J6">
        <f t="shared" si="0"/>
        <v>27573000000</v>
      </c>
      <c r="K6">
        <f t="shared" si="0"/>
        <v>31562000000</v>
      </c>
      <c r="L6">
        <f t="shared" si="0"/>
        <v>39500000000</v>
      </c>
      <c r="M6">
        <f t="shared" si="0"/>
        <v>45427000000</v>
      </c>
    </row>
    <row r="7" spans="1:14" x14ac:dyDescent="0.25">
      <c r="A7" t="str">
        <f t="shared" si="1"/>
        <v>GOOGL</v>
      </c>
      <c r="C7" t="s">
        <v>51</v>
      </c>
      <c r="D7" t="str">
        <f t="shared" si="2"/>
        <v>GOOGL | sellingGeneralAndAdministrative</v>
      </c>
      <c r="E7">
        <f t="shared" si="0"/>
        <v>15183000000</v>
      </c>
      <c r="F7">
        <f t="shared" si="0"/>
        <v>17470000000</v>
      </c>
      <c r="G7">
        <f t="shared" si="0"/>
        <v>19765000000</v>
      </c>
      <c r="H7">
        <f t="shared" si="0"/>
        <v>24459000000</v>
      </c>
      <c r="I7">
        <f t="shared" si="0"/>
        <v>28015000000</v>
      </c>
      <c r="J7">
        <f t="shared" si="0"/>
        <v>28998000000</v>
      </c>
      <c r="K7">
        <f t="shared" si="0"/>
        <v>36422000000</v>
      </c>
      <c r="L7">
        <f t="shared" si="0"/>
        <v>42291000000</v>
      </c>
      <c r="M7">
        <f t="shared" si="0"/>
        <v>44342000000</v>
      </c>
    </row>
    <row r="8" spans="1:14" x14ac:dyDescent="0.25">
      <c r="A8" t="str">
        <f t="shared" si="1"/>
        <v>GOOGL</v>
      </c>
      <c r="C8" t="s">
        <v>50</v>
      </c>
      <c r="D8" t="str">
        <f t="shared" si="2"/>
        <v>GOOGL | operatingIncome</v>
      </c>
      <c r="E8">
        <f t="shared" si="0"/>
        <v>19360000000</v>
      </c>
      <c r="F8">
        <f t="shared" si="0"/>
        <v>23716000000</v>
      </c>
      <c r="G8">
        <f t="shared" si="0"/>
        <v>26178000000</v>
      </c>
      <c r="H8">
        <f t="shared" si="0"/>
        <v>27524000000</v>
      </c>
      <c r="I8">
        <f t="shared" si="0"/>
        <v>34231000000</v>
      </c>
      <c r="J8">
        <f t="shared" si="0"/>
        <v>41224000000</v>
      </c>
      <c r="K8">
        <f t="shared" si="0"/>
        <v>78714000000</v>
      </c>
      <c r="L8">
        <f t="shared" si="0"/>
        <v>74842000000</v>
      </c>
      <c r="M8">
        <f t="shared" si="0"/>
        <v>84293000000</v>
      </c>
    </row>
    <row r="9" spans="1:14" x14ac:dyDescent="0.25">
      <c r="A9" t="str">
        <f t="shared" si="1"/>
        <v>GOOGL</v>
      </c>
      <c r="C9" t="s">
        <v>59</v>
      </c>
      <c r="D9" t="str">
        <f t="shared" si="2"/>
        <v>GOOGL | otherNonOperatingIncome</v>
      </c>
      <c r="E9">
        <f t="shared" si="0"/>
        <v>152000000</v>
      </c>
      <c r="F9">
        <f t="shared" si="0"/>
        <v>88000000</v>
      </c>
      <c r="G9">
        <f t="shared" si="0"/>
        <v>158000000</v>
      </c>
      <c r="H9">
        <f t="shared" si="0"/>
        <v>378000000</v>
      </c>
      <c r="I9">
        <f t="shared" si="0"/>
        <v>102000000</v>
      </c>
      <c r="J9">
        <f t="shared" si="0"/>
        <v>-637000000</v>
      </c>
      <c r="K9">
        <f t="shared" si="0"/>
        <v>411000000</v>
      </c>
      <c r="L9">
        <f t="shared" si="0"/>
        <v>381000000</v>
      </c>
      <c r="M9">
        <f t="shared" si="0"/>
        <v>299000000</v>
      </c>
    </row>
    <row r="10" spans="1:14" x14ac:dyDescent="0.25">
      <c r="A10" t="str">
        <f t="shared" si="1"/>
        <v>GOOGL</v>
      </c>
      <c r="C10" t="s">
        <v>56</v>
      </c>
      <c r="D10" t="str">
        <f t="shared" si="2"/>
        <v>GOOGL | interestIncome</v>
      </c>
      <c r="E10">
        <f t="shared" si="0"/>
        <v>35000000</v>
      </c>
      <c r="F10">
        <f t="shared" si="0"/>
        <v>1220000000</v>
      </c>
      <c r="G10">
        <f t="shared" si="0"/>
        <v>1312000000</v>
      </c>
      <c r="H10">
        <f t="shared" si="0"/>
        <v>1878000000</v>
      </c>
      <c r="I10">
        <f t="shared" si="0"/>
        <v>2427000000</v>
      </c>
      <c r="J10">
        <f t="shared" si="0"/>
        <v>1865000000</v>
      </c>
      <c r="K10">
        <f t="shared" si="0"/>
        <v>1499000000</v>
      </c>
      <c r="L10">
        <f t="shared" si="0"/>
        <v>2174000000</v>
      </c>
      <c r="M10">
        <f t="shared" si="0"/>
        <v>3414000000</v>
      </c>
    </row>
    <row r="11" spans="1:14" x14ac:dyDescent="0.25">
      <c r="A11" t="str">
        <f t="shared" si="1"/>
        <v>GOOGL</v>
      </c>
      <c r="C11" t="s">
        <v>57</v>
      </c>
      <c r="D11" t="str">
        <f t="shared" si="2"/>
        <v>GOOGL | interestExpense</v>
      </c>
      <c r="E11">
        <f t="shared" si="0"/>
        <v>104000000</v>
      </c>
      <c r="F11">
        <f t="shared" si="0"/>
        <v>124000000</v>
      </c>
      <c r="G11">
        <f t="shared" si="0"/>
        <v>109000000</v>
      </c>
      <c r="H11">
        <f t="shared" si="0"/>
        <v>114000000</v>
      </c>
      <c r="I11">
        <f t="shared" si="0"/>
        <v>100000000</v>
      </c>
      <c r="J11">
        <f t="shared" si="0"/>
        <v>135000000</v>
      </c>
      <c r="K11">
        <f t="shared" si="0"/>
        <v>346000000</v>
      </c>
      <c r="L11">
        <f t="shared" si="0"/>
        <v>357000000</v>
      </c>
      <c r="M11">
        <f t="shared" si="0"/>
        <v>308000000</v>
      </c>
    </row>
    <row r="12" spans="1:14" x14ac:dyDescent="0.25">
      <c r="A12" t="str">
        <f t="shared" si="1"/>
        <v>GOOGL</v>
      </c>
      <c r="C12" t="s">
        <v>61</v>
      </c>
      <c r="D12" t="str">
        <f t="shared" si="2"/>
        <v>GOOGL | depreciationAndAmortization</v>
      </c>
      <c r="E12">
        <f t="shared" si="0"/>
        <v>5063000000</v>
      </c>
      <c r="F12">
        <f t="shared" si="0"/>
        <v>22816</v>
      </c>
      <c r="G12">
        <f t="shared" si="0"/>
        <v>52516</v>
      </c>
      <c r="H12">
        <f t="shared" si="0"/>
        <v>161141</v>
      </c>
      <c r="I12">
        <f t="shared" si="0"/>
        <v>171860</v>
      </c>
      <c r="J12">
        <f t="shared" si="0"/>
        <v>13697000000</v>
      </c>
      <c r="K12">
        <f t="shared" si="0"/>
        <v>12441000000</v>
      </c>
      <c r="L12">
        <f t="shared" si="0"/>
        <v>13475000000</v>
      </c>
      <c r="M12">
        <f t="shared" si="0"/>
        <v>11946000000</v>
      </c>
    </row>
    <row r="13" spans="1:14" x14ac:dyDescent="0.25">
      <c r="A13" t="str">
        <f t="shared" si="1"/>
        <v>GOOGL</v>
      </c>
      <c r="C13" t="s">
        <v>62</v>
      </c>
      <c r="D13" t="str">
        <f t="shared" si="2"/>
        <v>GOOGL | incomeBeforeTax</v>
      </c>
      <c r="E13">
        <f t="shared" ref="E13:M22" si="3">VLOOKUP($D13,BASE_DE_DATOS,COLUMNA,FALSE)</f>
        <v>19651000000</v>
      </c>
      <c r="F13">
        <f t="shared" si="3"/>
        <v>24150000000</v>
      </c>
      <c r="G13">
        <f t="shared" si="3"/>
        <v>27193000000</v>
      </c>
      <c r="H13">
        <f t="shared" si="3"/>
        <v>34913000000</v>
      </c>
      <c r="I13">
        <f t="shared" si="3"/>
        <v>39625000000</v>
      </c>
      <c r="J13">
        <f t="shared" si="3"/>
        <v>48082000000</v>
      </c>
      <c r="K13">
        <f t="shared" si="3"/>
        <v>90734000000</v>
      </c>
      <c r="L13">
        <f t="shared" si="3"/>
        <v>71328000000</v>
      </c>
      <c r="M13">
        <f t="shared" si="3"/>
        <v>85717000000</v>
      </c>
    </row>
    <row r="14" spans="1:14" x14ac:dyDescent="0.25">
      <c r="A14" t="str">
        <f t="shared" si="1"/>
        <v>GOOGL</v>
      </c>
      <c r="C14" t="s">
        <v>63</v>
      </c>
      <c r="D14" t="str">
        <f t="shared" si="2"/>
        <v>GOOGL | incomeTaxExpense</v>
      </c>
      <c r="E14">
        <f t="shared" si="3"/>
        <v>3303000000</v>
      </c>
      <c r="F14">
        <f t="shared" si="3"/>
        <v>4672000000</v>
      </c>
      <c r="G14">
        <f t="shared" si="3"/>
        <v>14531000000</v>
      </c>
      <c r="H14">
        <f t="shared" si="3"/>
        <v>4177000000</v>
      </c>
      <c r="I14">
        <f t="shared" si="3"/>
        <v>5282000000</v>
      </c>
      <c r="J14">
        <f t="shared" si="3"/>
        <v>7813000000</v>
      </c>
      <c r="K14">
        <f t="shared" si="3"/>
        <v>14701000000</v>
      </c>
      <c r="L14">
        <f t="shared" si="3"/>
        <v>11356000000</v>
      </c>
      <c r="M14">
        <f t="shared" si="3"/>
        <v>11922000000</v>
      </c>
    </row>
    <row r="15" spans="1:14" x14ac:dyDescent="0.25">
      <c r="A15" t="str">
        <f t="shared" si="1"/>
        <v>GOOGL</v>
      </c>
      <c r="C15" t="s">
        <v>65</v>
      </c>
      <c r="D15" t="str">
        <f t="shared" si="2"/>
        <v>GOOGL | netIncomeFromContinuingOperations</v>
      </c>
      <c r="E15">
        <f t="shared" si="3"/>
        <v>16348000000</v>
      </c>
      <c r="F15">
        <f t="shared" si="3"/>
        <v>19478000000</v>
      </c>
      <c r="G15">
        <f t="shared" si="3"/>
        <v>12506000000</v>
      </c>
      <c r="H15">
        <f t="shared" si="3"/>
        <v>30736000000</v>
      </c>
      <c r="I15">
        <f t="shared" si="3"/>
        <v>34343000000</v>
      </c>
      <c r="J15">
        <f t="shared" si="3"/>
        <v>40269000000</v>
      </c>
      <c r="K15">
        <f t="shared" si="3"/>
        <v>76033000000</v>
      </c>
      <c r="L15">
        <f t="shared" si="3"/>
        <v>59972000000</v>
      </c>
      <c r="M15">
        <f t="shared" si="3"/>
        <v>73795000000</v>
      </c>
    </row>
    <row r="16" spans="1:14" x14ac:dyDescent="0.25">
      <c r="A16" t="str">
        <f t="shared" si="1"/>
        <v>GOOGL</v>
      </c>
      <c r="C16" t="s">
        <v>69</v>
      </c>
      <c r="D16" t="str">
        <f t="shared" si="2"/>
        <v>GOOGL | netIncome</v>
      </c>
      <c r="E16">
        <f t="shared" si="3"/>
        <v>16348000000</v>
      </c>
      <c r="F16">
        <f t="shared" si="3"/>
        <v>19478000000</v>
      </c>
      <c r="G16">
        <f t="shared" si="3"/>
        <v>12662000000</v>
      </c>
      <c r="H16">
        <f t="shared" si="3"/>
        <v>30736000000</v>
      </c>
      <c r="I16">
        <f t="shared" si="3"/>
        <v>34343000000</v>
      </c>
      <c r="J16">
        <f t="shared" si="3"/>
        <v>40269000000</v>
      </c>
      <c r="K16">
        <f t="shared" si="3"/>
        <v>76033000000</v>
      </c>
      <c r="L16">
        <f t="shared" si="3"/>
        <v>59972000000</v>
      </c>
      <c r="M16">
        <f t="shared" si="3"/>
        <v>73795000000</v>
      </c>
    </row>
    <row r="17" spans="1:13" x14ac:dyDescent="0.25">
      <c r="A17" t="str">
        <f t="shared" si="1"/>
        <v>GOOGL</v>
      </c>
      <c r="C17" t="s">
        <v>0</v>
      </c>
      <c r="D17" t="str">
        <f t="shared" si="2"/>
        <v>GOOGL | commonStockSharesOutstanding</v>
      </c>
      <c r="E17">
        <f t="shared" si="3"/>
        <v>687348000</v>
      </c>
      <c r="F17">
        <f t="shared" si="3"/>
        <v>691293000</v>
      </c>
      <c r="G17">
        <f t="shared" si="3"/>
        <v>694783000</v>
      </c>
      <c r="H17">
        <f t="shared" si="3"/>
        <v>695556000</v>
      </c>
      <c r="I17">
        <f t="shared" si="3"/>
        <v>688335000</v>
      </c>
      <c r="J17">
        <f t="shared" si="3"/>
        <v>675222000</v>
      </c>
      <c r="K17">
        <f t="shared" si="3"/>
        <v>662121000</v>
      </c>
      <c r="L17">
        <f t="shared" si="3"/>
        <v>12849000000</v>
      </c>
      <c r="M17">
        <f t="shared" si="3"/>
        <v>12460000000</v>
      </c>
    </row>
    <row r="18" spans="1:13" x14ac:dyDescent="0.25">
      <c r="A18" t="str">
        <f t="shared" si="1"/>
        <v>GOOGL</v>
      </c>
      <c r="C18" t="s">
        <v>67</v>
      </c>
      <c r="D18" t="str">
        <f t="shared" si="2"/>
        <v>GOOGL | ebit</v>
      </c>
      <c r="E18">
        <f t="shared" si="3"/>
        <v>19755000000</v>
      </c>
      <c r="F18">
        <f t="shared" si="3"/>
        <v>24274000000</v>
      </c>
      <c r="G18">
        <f t="shared" si="3"/>
        <v>27302000000</v>
      </c>
      <c r="H18">
        <f t="shared" si="3"/>
        <v>35027000000</v>
      </c>
      <c r="I18">
        <f t="shared" si="3"/>
        <v>39725000000</v>
      </c>
      <c r="J18">
        <f t="shared" si="3"/>
        <v>48217000000</v>
      </c>
      <c r="K18">
        <f t="shared" si="3"/>
        <v>91080000000</v>
      </c>
      <c r="L18">
        <f t="shared" si="3"/>
        <v>71685000000</v>
      </c>
      <c r="M18">
        <f t="shared" si="3"/>
        <v>86025000000</v>
      </c>
    </row>
    <row r="19" spans="1:13" x14ac:dyDescent="0.25">
      <c r="A19" t="str">
        <f t="shared" si="1"/>
        <v>GOOGL</v>
      </c>
      <c r="C19" t="s">
        <v>68</v>
      </c>
      <c r="D19" t="str">
        <f t="shared" si="2"/>
        <v>GOOGL | ebitda</v>
      </c>
      <c r="E19">
        <f t="shared" si="3"/>
        <v>24423000000</v>
      </c>
      <c r="F19">
        <f t="shared" si="3"/>
        <v>29860000000</v>
      </c>
      <c r="G19">
        <f t="shared" si="3"/>
        <v>38533000000</v>
      </c>
      <c r="H19">
        <f t="shared" si="3"/>
        <v>45498000000</v>
      </c>
      <c r="I19">
        <f t="shared" si="3"/>
        <v>49406000000</v>
      </c>
      <c r="J19">
        <f t="shared" si="3"/>
        <v>61914000000</v>
      </c>
      <c r="K19">
        <f t="shared" si="3"/>
        <v>103521000000</v>
      </c>
      <c r="L19">
        <f t="shared" si="3"/>
        <v>91333000000</v>
      </c>
      <c r="M19">
        <f t="shared" si="3"/>
        <v>97971000000</v>
      </c>
    </row>
    <row r="20" spans="1:13" x14ac:dyDescent="0.25">
      <c r="A20" t="str">
        <f t="shared" si="1"/>
        <v>GOOGL</v>
      </c>
      <c r="C20" t="s">
        <v>32</v>
      </c>
      <c r="D20" t="str">
        <f t="shared" si="2"/>
        <v>GOOGL | cashAndShortTermInvestments</v>
      </c>
      <c r="E20">
        <f t="shared" si="3"/>
        <v>73066000000</v>
      </c>
      <c r="F20">
        <f t="shared" si="3"/>
        <v>86333000000</v>
      </c>
      <c r="G20">
        <f t="shared" si="3"/>
        <v>101871000000</v>
      </c>
      <c r="H20">
        <f t="shared" si="3"/>
        <v>109140000000</v>
      </c>
      <c r="I20">
        <f t="shared" si="3"/>
        <v>119675000000</v>
      </c>
      <c r="J20">
        <f t="shared" si="3"/>
        <v>136694000000</v>
      </c>
      <c r="K20">
        <f t="shared" si="3"/>
        <v>139649000000</v>
      </c>
      <c r="L20">
        <f t="shared" si="3"/>
        <v>113762000000</v>
      </c>
      <c r="M20">
        <f t="shared" si="3"/>
        <v>110916000000</v>
      </c>
    </row>
    <row r="21" spans="1:13" x14ac:dyDescent="0.25">
      <c r="A21" t="str">
        <f t="shared" si="1"/>
        <v>GOOGL</v>
      </c>
      <c r="C21" t="s">
        <v>31</v>
      </c>
      <c r="D21" t="str">
        <f t="shared" si="2"/>
        <v>GOOGL | inventory</v>
      </c>
      <c r="E21">
        <f t="shared" si="3"/>
        <v>491000000</v>
      </c>
      <c r="F21">
        <f t="shared" si="3"/>
        <v>268000000</v>
      </c>
      <c r="G21">
        <f t="shared" si="3"/>
        <v>749000000</v>
      </c>
      <c r="H21">
        <f t="shared" si="3"/>
        <v>1107000000</v>
      </c>
      <c r="I21">
        <f t="shared" si="3"/>
        <v>999000000</v>
      </c>
      <c r="J21">
        <f t="shared" si="3"/>
        <v>728000000</v>
      </c>
      <c r="K21">
        <f t="shared" si="3"/>
        <v>1170000000</v>
      </c>
      <c r="L21">
        <f t="shared" si="3"/>
        <v>2670000000</v>
      </c>
      <c r="M21">
        <f t="shared" si="3"/>
        <v>0</v>
      </c>
    </row>
    <row r="22" spans="1:13" x14ac:dyDescent="0.25">
      <c r="A22" t="str">
        <f t="shared" si="1"/>
        <v>GOOGL</v>
      </c>
      <c r="C22" t="s">
        <v>30</v>
      </c>
      <c r="D22" t="str">
        <f t="shared" si="2"/>
        <v>GOOGL | currentNetReceivables</v>
      </c>
      <c r="E22">
        <f t="shared" si="3"/>
        <v>13459000000</v>
      </c>
      <c r="F22">
        <f t="shared" si="3"/>
        <v>14232000000</v>
      </c>
      <c r="G22">
        <f t="shared" si="3"/>
        <v>18705000000</v>
      </c>
      <c r="H22">
        <f t="shared" si="3"/>
        <v>21193000000</v>
      </c>
      <c r="I22">
        <f t="shared" si="3"/>
        <v>27492000000</v>
      </c>
      <c r="J22">
        <f t="shared" si="3"/>
        <v>31384000000</v>
      </c>
      <c r="K22">
        <f t="shared" si="3"/>
        <v>40270000000</v>
      </c>
      <c r="L22">
        <f t="shared" si="3"/>
        <v>40258000000</v>
      </c>
      <c r="M22">
        <f t="shared" si="3"/>
        <v>47964000000</v>
      </c>
    </row>
    <row r="23" spans="1:13" x14ac:dyDescent="0.25">
      <c r="A23" t="str">
        <f t="shared" si="1"/>
        <v>GOOGL</v>
      </c>
      <c r="C23" t="s">
        <v>20</v>
      </c>
      <c r="D23" t="str">
        <f t="shared" si="2"/>
        <v>GOOGL | otherCurrentAssets</v>
      </c>
      <c r="E23">
        <f t="shared" ref="E23:M32" si="4">VLOOKUP($D23,BASE_DE_DATOS,COLUMNA,FALSE)</f>
        <v>3139000000</v>
      </c>
      <c r="F23">
        <f t="shared" si="4"/>
        <v>4575000000</v>
      </c>
      <c r="G23">
        <f t="shared" si="4"/>
        <v>2983000000</v>
      </c>
      <c r="H23">
        <f t="shared" si="4"/>
        <v>4236000000</v>
      </c>
      <c r="I23">
        <f t="shared" si="4"/>
        <v>4412000000</v>
      </c>
      <c r="J23">
        <f t="shared" si="4"/>
        <v>5490000000</v>
      </c>
      <c r="K23">
        <f t="shared" si="4"/>
        <v>8020000000</v>
      </c>
      <c r="L23">
        <f t="shared" si="4"/>
        <v>10775000000</v>
      </c>
      <c r="M23">
        <f t="shared" si="4"/>
        <v>12650000000</v>
      </c>
    </row>
    <row r="24" spans="1:13" x14ac:dyDescent="0.25">
      <c r="A24" t="str">
        <f t="shared" si="1"/>
        <v>GOOGL</v>
      </c>
      <c r="C24" t="s">
        <v>34</v>
      </c>
      <c r="D24" t="str">
        <f t="shared" si="2"/>
        <v>GOOGL | totalCurrentAssets</v>
      </c>
      <c r="E24">
        <f t="shared" si="4"/>
        <v>90114000000</v>
      </c>
      <c r="F24">
        <f t="shared" si="4"/>
        <v>105408000000</v>
      </c>
      <c r="G24">
        <f t="shared" si="4"/>
        <v>124308000000</v>
      </c>
      <c r="H24">
        <f t="shared" si="4"/>
        <v>135676000000</v>
      </c>
      <c r="I24">
        <f t="shared" si="4"/>
        <v>152578000000</v>
      </c>
      <c r="J24">
        <f t="shared" si="4"/>
        <v>174296000000</v>
      </c>
      <c r="K24">
        <f t="shared" si="4"/>
        <v>188143000000</v>
      </c>
      <c r="L24">
        <f t="shared" si="4"/>
        <v>164795000000</v>
      </c>
      <c r="M24">
        <f t="shared" si="4"/>
        <v>171530000000</v>
      </c>
    </row>
    <row r="25" spans="1:13" x14ac:dyDescent="0.25">
      <c r="A25" t="str">
        <f t="shared" si="1"/>
        <v>GOOGL</v>
      </c>
      <c r="C25" t="s">
        <v>28</v>
      </c>
      <c r="D25" t="str">
        <f t="shared" si="2"/>
        <v>GOOGL | propertyPlantEquipment</v>
      </c>
      <c r="E25">
        <f t="shared" si="4"/>
        <v>29016000000</v>
      </c>
      <c r="F25">
        <f t="shared" si="4"/>
        <v>34234000000</v>
      </c>
      <c r="G25">
        <f t="shared" si="4"/>
        <v>42383000000</v>
      </c>
      <c r="H25">
        <f t="shared" si="4"/>
        <v>59719000000</v>
      </c>
      <c r="I25">
        <f t="shared" si="4"/>
        <v>73646000000</v>
      </c>
      <c r="J25">
        <f t="shared" si="4"/>
        <v>84749000000</v>
      </c>
      <c r="K25">
        <f t="shared" si="4"/>
        <v>97599000000</v>
      </c>
      <c r="L25">
        <f t="shared" si="4"/>
        <v>112668000000</v>
      </c>
      <c r="M25">
        <f t="shared" si="4"/>
        <v>134345000000</v>
      </c>
    </row>
    <row r="26" spans="1:13" x14ac:dyDescent="0.25">
      <c r="A26" t="str">
        <f t="shared" si="1"/>
        <v>GOOGL</v>
      </c>
      <c r="C26" t="s">
        <v>27</v>
      </c>
      <c r="D26" t="str">
        <f t="shared" si="2"/>
        <v>GOOGL | accumulatedDepreciationAmortizationPPE</v>
      </c>
      <c r="E26">
        <f t="shared" si="4"/>
        <v>11130000000</v>
      </c>
      <c r="F26">
        <f t="shared" si="4"/>
        <v>13293000000</v>
      </c>
      <c r="G26">
        <f t="shared" si="4"/>
        <v>17264000000</v>
      </c>
      <c r="H26">
        <f t="shared" si="4"/>
        <v>22788000000</v>
      </c>
      <c r="I26">
        <f t="shared" si="4"/>
        <v>30561000000</v>
      </c>
      <c r="J26">
        <f t="shared" si="4"/>
        <v>41713000000</v>
      </c>
      <c r="K26">
        <f t="shared" si="4"/>
        <v>49414000000</v>
      </c>
      <c r="L26">
        <f t="shared" si="4"/>
        <v>59042000000</v>
      </c>
      <c r="M26">
        <f t="shared" si="4"/>
        <v>67458000000</v>
      </c>
    </row>
    <row r="27" spans="1:13" x14ac:dyDescent="0.25">
      <c r="A27" t="str">
        <f t="shared" si="1"/>
        <v>GOOGL</v>
      </c>
      <c r="C27" t="s">
        <v>22</v>
      </c>
      <c r="D27" t="str">
        <f t="shared" si="2"/>
        <v>GOOGL | longTermInvestments</v>
      </c>
      <c r="E27">
        <f t="shared" si="4"/>
        <v>9383000000</v>
      </c>
      <c r="F27">
        <f t="shared" si="4"/>
        <v>10578000000</v>
      </c>
      <c r="G27">
        <f t="shared" si="4"/>
        <v>13713000000</v>
      </c>
      <c r="H27">
        <f t="shared" si="4"/>
        <v>15159000000</v>
      </c>
      <c r="I27">
        <f t="shared" si="4"/>
        <v>14378000000</v>
      </c>
      <c r="J27">
        <f t="shared" si="4"/>
        <v>22103000000</v>
      </c>
      <c r="K27">
        <f t="shared" si="4"/>
        <v>31049000000</v>
      </c>
      <c r="L27">
        <f t="shared" si="4"/>
        <v>32795000000</v>
      </c>
      <c r="M27">
        <f t="shared" si="4"/>
        <v>34108000000</v>
      </c>
    </row>
    <row r="28" spans="1:13" x14ac:dyDescent="0.25">
      <c r="A28" t="str">
        <f t="shared" si="1"/>
        <v>GOOGL</v>
      </c>
      <c r="C28" t="s">
        <v>25</v>
      </c>
      <c r="D28" t="str">
        <f t="shared" si="2"/>
        <v>GOOGL | intangibleAssetsExcludingGoodwill</v>
      </c>
      <c r="E28">
        <f t="shared" si="4"/>
        <v>3847000000</v>
      </c>
      <c r="F28">
        <f t="shared" si="4"/>
        <v>3307000000</v>
      </c>
      <c r="G28">
        <f t="shared" si="4"/>
        <v>2692000000</v>
      </c>
      <c r="H28">
        <f t="shared" si="4"/>
        <v>2220000000</v>
      </c>
      <c r="I28">
        <f t="shared" si="4"/>
        <v>1979000000</v>
      </c>
      <c r="J28">
        <f t="shared" si="4"/>
        <v>1445000000</v>
      </c>
      <c r="K28">
        <f t="shared" si="4"/>
        <v>1417000000</v>
      </c>
      <c r="L28">
        <f t="shared" si="4"/>
        <v>2084000000</v>
      </c>
      <c r="M28">
        <f t="shared" si="4"/>
        <v>0</v>
      </c>
    </row>
    <row r="29" spans="1:13" x14ac:dyDescent="0.25">
      <c r="A29" t="str">
        <f t="shared" si="1"/>
        <v>GOOGL</v>
      </c>
      <c r="C29" t="s">
        <v>24</v>
      </c>
      <c r="D29" t="str">
        <f t="shared" si="2"/>
        <v>GOOGL | goodwill</v>
      </c>
      <c r="E29">
        <f t="shared" si="4"/>
        <v>15869000000</v>
      </c>
      <c r="F29">
        <f t="shared" si="4"/>
        <v>16468000000</v>
      </c>
      <c r="G29">
        <f t="shared" si="4"/>
        <v>16747000000</v>
      </c>
      <c r="H29">
        <f t="shared" si="4"/>
        <v>17888000000</v>
      </c>
      <c r="I29">
        <f t="shared" si="4"/>
        <v>20624000000</v>
      </c>
      <c r="J29">
        <f t="shared" si="4"/>
        <v>21175000000</v>
      </c>
      <c r="K29">
        <f t="shared" si="4"/>
        <v>22956000000</v>
      </c>
      <c r="L29">
        <f t="shared" si="4"/>
        <v>28960000000</v>
      </c>
      <c r="M29">
        <f t="shared" si="4"/>
        <v>29198000000</v>
      </c>
    </row>
    <row r="30" spans="1:13" x14ac:dyDescent="0.25">
      <c r="A30" t="str">
        <f t="shared" si="1"/>
        <v>GOOGL</v>
      </c>
      <c r="C30" t="s">
        <v>19</v>
      </c>
      <c r="D30" t="str">
        <f t="shared" si="2"/>
        <v>GOOGL | otherNonCurrentAssets</v>
      </c>
      <c r="E30">
        <f t="shared" si="4"/>
        <v>0</v>
      </c>
      <c r="F30">
        <f t="shared" si="4"/>
        <v>1819000000</v>
      </c>
      <c r="G30">
        <f t="shared" si="4"/>
        <v>2672000000</v>
      </c>
      <c r="H30">
        <f t="shared" si="4"/>
        <v>2693000000</v>
      </c>
      <c r="I30">
        <f t="shared" si="4"/>
        <v>2342000000</v>
      </c>
      <c r="J30">
        <f t="shared" si="4"/>
        <v>3953000000</v>
      </c>
      <c r="K30">
        <f t="shared" si="4"/>
        <v>5361000000</v>
      </c>
      <c r="L30">
        <f t="shared" si="4"/>
        <v>8707000000</v>
      </c>
      <c r="M30">
        <f t="shared" si="4"/>
        <v>10051000000</v>
      </c>
    </row>
    <row r="31" spans="1:13" x14ac:dyDescent="0.25">
      <c r="A31" t="str">
        <f t="shared" si="1"/>
        <v>GOOGL</v>
      </c>
      <c r="C31" t="s">
        <v>29</v>
      </c>
      <c r="D31" t="str">
        <f t="shared" si="2"/>
        <v>GOOGL | totalNonCurrentAssets</v>
      </c>
      <c r="E31">
        <f t="shared" si="4"/>
        <v>57347000000</v>
      </c>
      <c r="F31">
        <f t="shared" si="4"/>
        <v>62089000000</v>
      </c>
      <c r="G31">
        <f t="shared" si="4"/>
        <v>72987000000</v>
      </c>
      <c r="H31">
        <f t="shared" si="4"/>
        <v>97116000000</v>
      </c>
      <c r="I31">
        <f t="shared" si="4"/>
        <v>123331000000</v>
      </c>
      <c r="J31">
        <f t="shared" si="4"/>
        <v>146720000000</v>
      </c>
      <c r="K31">
        <f t="shared" si="4"/>
        <v>172625000000</v>
      </c>
      <c r="L31">
        <f t="shared" si="4"/>
        <v>202772000000</v>
      </c>
      <c r="M31">
        <f t="shared" si="4"/>
        <v>233962000000</v>
      </c>
    </row>
    <row r="32" spans="1:13" x14ac:dyDescent="0.25">
      <c r="A32" t="str">
        <f t="shared" si="1"/>
        <v>GOOGL</v>
      </c>
      <c r="C32" t="s">
        <v>35</v>
      </c>
      <c r="D32" t="str">
        <f t="shared" si="2"/>
        <v>GOOGL | totalAssets</v>
      </c>
      <c r="E32">
        <f t="shared" si="4"/>
        <v>147461000000</v>
      </c>
      <c r="F32">
        <f t="shared" si="4"/>
        <v>167497000000</v>
      </c>
      <c r="G32">
        <f t="shared" si="4"/>
        <v>197295000000</v>
      </c>
      <c r="H32">
        <f t="shared" si="4"/>
        <v>232792000000</v>
      </c>
      <c r="I32">
        <f t="shared" si="4"/>
        <v>275909000000</v>
      </c>
      <c r="J32">
        <f t="shared" si="4"/>
        <v>319616000000</v>
      </c>
      <c r="K32">
        <f t="shared" si="4"/>
        <v>359268000000</v>
      </c>
      <c r="L32">
        <f t="shared" si="4"/>
        <v>365264000000</v>
      </c>
      <c r="M32">
        <f t="shared" si="4"/>
        <v>402392000000</v>
      </c>
    </row>
    <row r="33" spans="1:13" x14ac:dyDescent="0.25">
      <c r="A33" t="str">
        <f t="shared" si="1"/>
        <v>GOOGL</v>
      </c>
      <c r="C33" t="s">
        <v>16</v>
      </c>
      <c r="D33" t="str">
        <f t="shared" si="2"/>
        <v>GOOGL | currentAccountsPayable</v>
      </c>
      <c r="E33">
        <f t="shared" ref="E33:M46" si="5">VLOOKUP($D33,BASE_DE_DATOS,COLUMNA,FALSE)</f>
        <v>1931000000</v>
      </c>
      <c r="F33">
        <f t="shared" si="5"/>
        <v>2041000000</v>
      </c>
      <c r="G33">
        <f t="shared" si="5"/>
        <v>3137000000</v>
      </c>
      <c r="H33">
        <f t="shared" si="5"/>
        <v>4378000000</v>
      </c>
      <c r="I33">
        <f t="shared" si="5"/>
        <v>5561000000</v>
      </c>
      <c r="J33">
        <f t="shared" si="5"/>
        <v>5589000000</v>
      </c>
      <c r="K33">
        <f t="shared" si="5"/>
        <v>6037000000</v>
      </c>
      <c r="L33">
        <f t="shared" si="5"/>
        <v>5128000000</v>
      </c>
      <c r="M33">
        <f t="shared" si="5"/>
        <v>7493000000</v>
      </c>
    </row>
    <row r="34" spans="1:13" x14ac:dyDescent="0.25">
      <c r="A34" t="str">
        <f t="shared" si="1"/>
        <v>GOOGL</v>
      </c>
      <c r="C34" t="s">
        <v>14</v>
      </c>
      <c r="D34" t="str">
        <f t="shared" si="2"/>
        <v>GOOGL | currentDebt</v>
      </c>
      <c r="E34">
        <f t="shared" si="5"/>
        <v>3225000000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1199000000</v>
      </c>
      <c r="J34">
        <f t="shared" si="5"/>
        <v>1100000000</v>
      </c>
      <c r="K34">
        <f t="shared" si="5"/>
        <v>113000000</v>
      </c>
      <c r="L34">
        <f t="shared" si="5"/>
        <v>298000000</v>
      </c>
      <c r="M34">
        <f t="shared" si="5"/>
        <v>1363000000</v>
      </c>
    </row>
    <row r="35" spans="1:13" x14ac:dyDescent="0.25">
      <c r="A35" t="str">
        <f t="shared" si="1"/>
        <v>GOOGL</v>
      </c>
      <c r="C35" t="s">
        <v>15</v>
      </c>
      <c r="D35" t="str">
        <f t="shared" si="2"/>
        <v>GOOGL | deferredRevenue</v>
      </c>
      <c r="E35">
        <f t="shared" si="5"/>
        <v>939000000</v>
      </c>
      <c r="F35">
        <f t="shared" si="5"/>
        <v>1301000000</v>
      </c>
      <c r="G35">
        <f t="shared" si="5"/>
        <v>1772000000</v>
      </c>
      <c r="H35">
        <f t="shared" si="5"/>
        <v>2180000000</v>
      </c>
      <c r="I35">
        <f t="shared" si="5"/>
        <v>2266000000</v>
      </c>
      <c r="J35">
        <f t="shared" si="5"/>
        <v>3024000000</v>
      </c>
      <c r="K35">
        <f t="shared" si="5"/>
        <v>3823000000</v>
      </c>
      <c r="L35">
        <f t="shared" si="5"/>
        <v>4507000000</v>
      </c>
      <c r="M35">
        <f t="shared" si="5"/>
        <v>5048000000</v>
      </c>
    </row>
    <row r="36" spans="1:13" x14ac:dyDescent="0.25">
      <c r="A36" t="str">
        <f t="shared" si="1"/>
        <v>GOOGL</v>
      </c>
      <c r="C36" t="s">
        <v>13</v>
      </c>
      <c r="D36" t="str">
        <f t="shared" si="2"/>
        <v>GOOGL | shortTermDebt</v>
      </c>
      <c r="E36">
        <f t="shared" si="5"/>
        <v>2000000000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</row>
    <row r="37" spans="1:13" x14ac:dyDescent="0.25">
      <c r="A37" t="str">
        <f t="shared" si="1"/>
        <v>GOOGL</v>
      </c>
      <c r="C37" t="s">
        <v>17</v>
      </c>
      <c r="D37" t="str">
        <f t="shared" si="2"/>
        <v>GOOGL | totalCurrentLiabilities</v>
      </c>
      <c r="E37">
        <f t="shared" si="5"/>
        <v>19310000000</v>
      </c>
      <c r="F37">
        <f t="shared" si="5"/>
        <v>16756000000</v>
      </c>
      <c r="G37">
        <f t="shared" si="5"/>
        <v>24183000000</v>
      </c>
      <c r="H37">
        <f t="shared" si="5"/>
        <v>34620000000</v>
      </c>
      <c r="I37">
        <f t="shared" si="5"/>
        <v>45221000000</v>
      </c>
      <c r="J37">
        <f t="shared" si="5"/>
        <v>56834000000</v>
      </c>
      <c r="K37">
        <f t="shared" si="5"/>
        <v>64254000000</v>
      </c>
      <c r="L37">
        <f t="shared" si="5"/>
        <v>69300000000</v>
      </c>
      <c r="M37">
        <f t="shared" si="5"/>
        <v>81814000000</v>
      </c>
    </row>
    <row r="38" spans="1:13" x14ac:dyDescent="0.25">
      <c r="A38" t="str">
        <f t="shared" si="1"/>
        <v>GOOGL</v>
      </c>
      <c r="C38" t="s">
        <v>10</v>
      </c>
      <c r="D38" t="str">
        <f t="shared" si="2"/>
        <v>GOOGL | longTermDebt</v>
      </c>
      <c r="E38">
        <f t="shared" si="5"/>
        <v>3225000000</v>
      </c>
      <c r="F38">
        <f t="shared" si="5"/>
        <v>4000000000</v>
      </c>
      <c r="G38">
        <f t="shared" si="5"/>
        <v>4026000000</v>
      </c>
      <c r="H38">
        <f t="shared" si="5"/>
        <v>4062000000</v>
      </c>
      <c r="I38">
        <f t="shared" si="5"/>
        <v>4685000000</v>
      </c>
      <c r="J38">
        <f t="shared" si="5"/>
        <v>15319000000</v>
      </c>
      <c r="K38">
        <f t="shared" si="5"/>
        <v>15440000000</v>
      </c>
      <c r="L38">
        <f t="shared" si="5"/>
        <v>15312000000</v>
      </c>
      <c r="M38">
        <f t="shared" si="5"/>
        <v>14862000000</v>
      </c>
    </row>
    <row r="39" spans="1:13" x14ac:dyDescent="0.25">
      <c r="A39" t="str">
        <f t="shared" si="1"/>
        <v>GOOGL</v>
      </c>
      <c r="C39" t="s">
        <v>5</v>
      </c>
      <c r="D39" t="str">
        <f t="shared" si="2"/>
        <v>GOOGL | otherNonCurrentLiabilities</v>
      </c>
      <c r="E39">
        <f t="shared" si="5"/>
        <v>1822000000</v>
      </c>
      <c r="F39">
        <f t="shared" si="5"/>
        <v>2665000000</v>
      </c>
      <c r="G39">
        <f t="shared" si="5"/>
        <v>3059000000</v>
      </c>
      <c r="H39">
        <f t="shared" si="5"/>
        <v>3545000000</v>
      </c>
      <c r="I39">
        <f t="shared" si="5"/>
        <v>2534000000</v>
      </c>
      <c r="J39">
        <f t="shared" si="5"/>
        <v>2269000000</v>
      </c>
      <c r="K39">
        <f t="shared" si="5"/>
        <v>2205000000</v>
      </c>
      <c r="L39">
        <f t="shared" si="5"/>
        <v>2247000000</v>
      </c>
      <c r="M39">
        <f t="shared" si="5"/>
        <v>1616000000</v>
      </c>
    </row>
    <row r="40" spans="1:13" x14ac:dyDescent="0.25">
      <c r="A40" t="str">
        <f t="shared" si="1"/>
        <v>GOOGL</v>
      </c>
      <c r="C40" t="s">
        <v>12</v>
      </c>
      <c r="D40" t="str">
        <f t="shared" si="2"/>
        <v>GOOGL | totalNonCurrentLiabilities</v>
      </c>
      <c r="E40">
        <f t="shared" si="5"/>
        <v>7820000000</v>
      </c>
      <c r="F40">
        <f t="shared" si="5"/>
        <v>11705000000</v>
      </c>
      <c r="G40">
        <f t="shared" si="5"/>
        <v>20180000000</v>
      </c>
      <c r="H40">
        <f t="shared" si="5"/>
        <v>19280000000</v>
      </c>
      <c r="I40">
        <f t="shared" si="5"/>
        <v>19032000000</v>
      </c>
      <c r="J40">
        <f t="shared" si="5"/>
        <v>40238000000</v>
      </c>
      <c r="K40">
        <f t="shared" si="5"/>
        <v>43379000000</v>
      </c>
      <c r="L40">
        <f t="shared" si="5"/>
        <v>39820000000</v>
      </c>
      <c r="M40">
        <f t="shared" si="5"/>
        <v>37199000000</v>
      </c>
    </row>
    <row r="41" spans="1:13" x14ac:dyDescent="0.25">
      <c r="A41" t="str">
        <f t="shared" si="1"/>
        <v>GOOGL</v>
      </c>
      <c r="C41" t="s">
        <v>18</v>
      </c>
      <c r="D41" t="str">
        <f t="shared" si="2"/>
        <v>GOOGL | totalLiabilities</v>
      </c>
      <c r="E41">
        <f t="shared" si="5"/>
        <v>27130000000</v>
      </c>
      <c r="F41">
        <f t="shared" si="5"/>
        <v>28461000000</v>
      </c>
      <c r="G41">
        <f t="shared" si="5"/>
        <v>44793000000</v>
      </c>
      <c r="H41">
        <f t="shared" si="5"/>
        <v>55164000000</v>
      </c>
      <c r="I41">
        <f t="shared" si="5"/>
        <v>74467000000</v>
      </c>
      <c r="J41">
        <f t="shared" si="5"/>
        <v>97072000000</v>
      </c>
      <c r="K41">
        <f t="shared" si="5"/>
        <v>107633000000</v>
      </c>
      <c r="L41">
        <f t="shared" si="5"/>
        <v>109120000000</v>
      </c>
      <c r="M41">
        <f t="shared" si="5"/>
        <v>119013000000</v>
      </c>
    </row>
    <row r="42" spans="1:13" x14ac:dyDescent="0.25">
      <c r="A42" t="str">
        <f t="shared" si="1"/>
        <v>GOOGL</v>
      </c>
      <c r="C42" t="s">
        <v>3</v>
      </c>
      <c r="D42" t="str">
        <f t="shared" si="2"/>
        <v>GOOGL | treasuryStock</v>
      </c>
      <c r="E42">
        <f t="shared" si="5"/>
        <v>0</v>
      </c>
      <c r="F42">
        <f t="shared" si="5"/>
        <v>0</v>
      </c>
      <c r="G42">
        <f t="shared" si="5"/>
        <v>0</v>
      </c>
      <c r="H42">
        <f t="shared" si="5"/>
        <v>0</v>
      </c>
      <c r="I42">
        <f t="shared" si="5"/>
        <v>0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</row>
    <row r="43" spans="1:13" x14ac:dyDescent="0.25">
      <c r="A43" t="str">
        <f t="shared" si="1"/>
        <v>GOOGL</v>
      </c>
      <c r="C43" t="s">
        <v>2</v>
      </c>
      <c r="D43" t="str">
        <f t="shared" si="2"/>
        <v>GOOGL | retainedEarnings</v>
      </c>
      <c r="E43">
        <f t="shared" si="5"/>
        <v>89223000000</v>
      </c>
      <c r="F43">
        <f t="shared" si="5"/>
        <v>105131000000</v>
      </c>
      <c r="G43">
        <f t="shared" si="5"/>
        <v>113247000000</v>
      </c>
      <c r="H43">
        <f t="shared" si="5"/>
        <v>134885000000</v>
      </c>
      <c r="I43">
        <f t="shared" si="5"/>
        <v>152122000000</v>
      </c>
      <c r="J43">
        <f t="shared" si="5"/>
        <v>163401000000</v>
      </c>
      <c r="K43">
        <f t="shared" si="5"/>
        <v>191484000000</v>
      </c>
      <c r="L43">
        <f t="shared" si="5"/>
        <v>195563000000</v>
      </c>
      <c r="M43">
        <f t="shared" si="5"/>
        <v>211247000000</v>
      </c>
    </row>
    <row r="44" spans="1:13" x14ac:dyDescent="0.25">
      <c r="A44" t="str">
        <f t="shared" si="1"/>
        <v>GOOGL</v>
      </c>
      <c r="C44" t="s">
        <v>1</v>
      </c>
      <c r="D44" t="str">
        <f t="shared" si="2"/>
        <v>GOOGL | commonStock</v>
      </c>
      <c r="E44">
        <f t="shared" si="5"/>
        <v>32982000000</v>
      </c>
      <c r="F44">
        <f t="shared" si="5"/>
        <v>36307000000</v>
      </c>
      <c r="G44">
        <f t="shared" si="5"/>
        <v>40247000000</v>
      </c>
      <c r="H44">
        <f t="shared" si="5"/>
        <v>45049000000</v>
      </c>
      <c r="I44">
        <f t="shared" si="5"/>
        <v>50552000000</v>
      </c>
      <c r="J44">
        <f t="shared" si="5"/>
        <v>58510000000</v>
      </c>
      <c r="K44">
        <f t="shared" si="5"/>
        <v>61774000000</v>
      </c>
      <c r="L44">
        <f t="shared" si="5"/>
        <v>68184000000</v>
      </c>
      <c r="M44">
        <f t="shared" si="5"/>
        <v>76534000000</v>
      </c>
    </row>
    <row r="45" spans="1:13" x14ac:dyDescent="0.25">
      <c r="A45" t="str">
        <f t="shared" si="1"/>
        <v>GOOGL</v>
      </c>
      <c r="C45" t="s">
        <v>4</v>
      </c>
      <c r="D45" t="str">
        <f t="shared" si="2"/>
        <v>GOOGL | totalShareholderEquity</v>
      </c>
      <c r="E45">
        <f t="shared" si="5"/>
        <v>120331000000</v>
      </c>
      <c r="F45">
        <f t="shared" si="5"/>
        <v>139036000000</v>
      </c>
      <c r="G45">
        <f t="shared" si="5"/>
        <v>152502000000</v>
      </c>
      <c r="H45">
        <f t="shared" si="5"/>
        <v>177628000000</v>
      </c>
      <c r="I45">
        <f t="shared" si="5"/>
        <v>201442000000</v>
      </c>
      <c r="J45">
        <f t="shared" si="5"/>
        <v>222544000000</v>
      </c>
      <c r="K45">
        <f t="shared" si="5"/>
        <v>251635000000</v>
      </c>
      <c r="L45">
        <f t="shared" si="5"/>
        <v>256144000000</v>
      </c>
      <c r="M45">
        <f t="shared" si="5"/>
        <v>283379000000</v>
      </c>
    </row>
    <row r="46" spans="1:13" x14ac:dyDescent="0.25">
      <c r="A46" t="str">
        <f t="shared" si="1"/>
        <v>GOOGL</v>
      </c>
      <c r="C46" t="s">
        <v>144</v>
      </c>
      <c r="D46" t="str">
        <f t="shared" si="2"/>
        <v>GOOGL | reportedEPS</v>
      </c>
      <c r="E46">
        <f t="shared" si="5"/>
        <v>1.4790000000000001</v>
      </c>
      <c r="F46">
        <f t="shared" si="5"/>
        <v>1.7170000000000001</v>
      </c>
      <c r="G46">
        <f t="shared" si="5"/>
        <v>1.6005</v>
      </c>
      <c r="H46">
        <f t="shared" si="5"/>
        <v>2.1850000000000001</v>
      </c>
      <c r="I46">
        <f t="shared" si="5"/>
        <v>2.4590000000000001</v>
      </c>
      <c r="J46">
        <f t="shared" si="5"/>
        <v>2.9434999999999998</v>
      </c>
      <c r="K46">
        <f t="shared" si="5"/>
        <v>5.6</v>
      </c>
      <c r="L46">
        <f t="shared" si="5"/>
        <v>4.55</v>
      </c>
      <c r="M46">
        <f t="shared" si="5"/>
        <v>5.8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A0BE-F324-4D10-9665-0F8328413B86}">
  <dimension ref="A1:S77"/>
  <sheetViews>
    <sheetView showGridLines="0" zoomScale="75" zoomScaleNormal="75" workbookViewId="0">
      <pane xSplit="4" ySplit="1" topLeftCell="E53" activePane="bottomRight" state="frozen"/>
      <selection pane="topRight" activeCell="E1" sqref="E1"/>
      <selection pane="bottomLeft" activeCell="A3" sqref="A3"/>
      <selection pane="bottomRight" activeCell="A82" sqref="A82"/>
    </sheetView>
  </sheetViews>
  <sheetFormatPr baseColWidth="10" defaultRowHeight="15" x14ac:dyDescent="0.25"/>
  <cols>
    <col min="1" max="1" width="50" customWidth="1"/>
    <col min="2" max="4" width="4.28515625" hidden="1" customWidth="1"/>
    <col min="5" max="5" width="22.5703125" style="7" bestFit="1" customWidth="1"/>
    <col min="6" max="6" width="27.5703125" style="7" bestFit="1" customWidth="1"/>
    <col min="7" max="7" width="22.5703125" style="7" bestFit="1" customWidth="1"/>
    <col min="8" max="8" width="20.7109375" style="7" customWidth="1"/>
    <col min="9" max="13" width="22.5703125" style="7" bestFit="1" customWidth="1"/>
    <col min="14" max="14" width="20.7109375" style="7" hidden="1" customWidth="1"/>
    <col min="15" max="15" width="0" hidden="1" customWidth="1"/>
    <col min="16" max="16" width="22" customWidth="1"/>
    <col min="17" max="17" width="11.5703125" bestFit="1" customWidth="1"/>
    <col min="18" max="18" width="11.85546875" bestFit="1" customWidth="1"/>
  </cols>
  <sheetData>
    <row r="1" spans="1:18" ht="44.25" x14ac:dyDescent="0.55000000000000004">
      <c r="A1" s="12" t="s">
        <v>80</v>
      </c>
      <c r="E1" s="33">
        <f t="shared" ref="E1:M1" si="0">FECHAS</f>
        <v>2015</v>
      </c>
      <c r="F1" s="33">
        <f t="shared" si="0"/>
        <v>2016</v>
      </c>
      <c r="G1" s="33">
        <f t="shared" si="0"/>
        <v>2017</v>
      </c>
      <c r="H1" s="33">
        <f t="shared" si="0"/>
        <v>2018</v>
      </c>
      <c r="I1" s="33">
        <f t="shared" si="0"/>
        <v>2019</v>
      </c>
      <c r="J1" s="33">
        <f t="shared" si="0"/>
        <v>2020</v>
      </c>
      <c r="K1" s="33">
        <f t="shared" si="0"/>
        <v>2021</v>
      </c>
      <c r="L1" s="33">
        <f t="shared" si="0"/>
        <v>2022</v>
      </c>
      <c r="M1" s="33">
        <f t="shared" si="0"/>
        <v>2023</v>
      </c>
      <c r="N1" s="33"/>
    </row>
    <row r="3" spans="1:18" ht="21" x14ac:dyDescent="0.35">
      <c r="A3" s="13" t="s">
        <v>108</v>
      </c>
      <c r="P3" s="18" t="s">
        <v>140</v>
      </c>
      <c r="Q3" s="25" t="s">
        <v>107</v>
      </c>
      <c r="R3" s="11"/>
    </row>
    <row r="4" spans="1:18" ht="15.75" x14ac:dyDescent="0.25">
      <c r="A4" s="2" t="s">
        <v>109</v>
      </c>
      <c r="E4" s="16">
        <f t="shared" ref="E4:M4" si="1">LOG(totalRevenue)</f>
        <v>10.874997562196153</v>
      </c>
      <c r="F4" s="16">
        <f t="shared" si="1"/>
        <v>10.955553064475271</v>
      </c>
      <c r="G4" s="16">
        <f t="shared" si="1"/>
        <v>11.044755286295231</v>
      </c>
      <c r="H4" s="16">
        <f t="shared" si="1"/>
        <v>11.13614641187373</v>
      </c>
      <c r="I4" s="16">
        <f t="shared" si="1"/>
        <v>11.209131486535219</v>
      </c>
      <c r="J4" s="16">
        <f t="shared" si="1"/>
        <v>11.261327115826454</v>
      </c>
      <c r="K4" s="16">
        <f t="shared" si="1"/>
        <v>11.411008233462328</v>
      </c>
      <c r="L4" s="16">
        <f t="shared" si="1"/>
        <v>11.449137309397468</v>
      </c>
      <c r="M4" s="16">
        <f t="shared" si="1"/>
        <v>11.485095080046595</v>
      </c>
      <c r="N4" s="8"/>
      <c r="P4" s="19">
        <f>10^SLOPE(E4:M4,FECHAS)-1</f>
        <v>0.20128804960610203</v>
      </c>
      <c r="Q4" s="27">
        <v>0</v>
      </c>
      <c r="R4" s="29" t="str">
        <f>IF(P4&gt;=0,"SI","NO")</f>
        <v>SI</v>
      </c>
    </row>
    <row r="5" spans="1:18" ht="15.75" x14ac:dyDescent="0.25">
      <c r="A5" s="2" t="s">
        <v>110</v>
      </c>
      <c r="E5" s="15">
        <f t="shared" ref="E5:M5" si="2">grossProfit/totalRevenue</f>
        <v>0.62442491565429592</v>
      </c>
      <c r="F5" s="15">
        <f t="shared" si="2"/>
        <v>0.61075416518964909</v>
      </c>
      <c r="G5" s="15">
        <f t="shared" si="2"/>
        <v>0.58880519597672631</v>
      </c>
      <c r="H5" s="15">
        <f t="shared" si="2"/>
        <v>0.5647607422945643</v>
      </c>
      <c r="I5" s="15">
        <f t="shared" si="2"/>
        <v>0.5558054331910266</v>
      </c>
      <c r="J5" s="15">
        <f t="shared" si="2"/>
        <v>0.53578374706207854</v>
      </c>
      <c r="K5" s="15">
        <f t="shared" si="2"/>
        <v>0.5693980290098084</v>
      </c>
      <c r="L5" s="15">
        <f t="shared" si="2"/>
        <v>0.55132448565303493</v>
      </c>
      <c r="M5" s="15">
        <f t="shared" si="2"/>
        <v>0.56364564617635216</v>
      </c>
      <c r="P5" s="19">
        <f>AVERAGE(E5:M5)</f>
        <v>0.57385581780083739</v>
      </c>
      <c r="Q5" s="27">
        <v>0.4</v>
      </c>
      <c r="R5" s="29" t="str">
        <f>IF(P5&gt;=0.4,"SI","NO")</f>
        <v>SI</v>
      </c>
    </row>
    <row r="6" spans="1:18" ht="15.75" x14ac:dyDescent="0.25">
      <c r="A6" s="2" t="s">
        <v>111</v>
      </c>
      <c r="E6" s="15">
        <f t="shared" ref="E6:M6" si="3">ebit/totalRevenue</f>
        <v>0.26343863766685782</v>
      </c>
      <c r="F6" s="15">
        <f t="shared" si="3"/>
        <v>0.26889844026940801</v>
      </c>
      <c r="G6" s="15">
        <f t="shared" si="3"/>
        <v>0.24628568851202021</v>
      </c>
      <c r="H6" s="15">
        <f t="shared" si="3"/>
        <v>0.25600976472565945</v>
      </c>
      <c r="I6" s="15">
        <f t="shared" si="3"/>
        <v>0.24543269676319221</v>
      </c>
      <c r="J6" s="15">
        <f t="shared" si="3"/>
        <v>0.26416365797936742</v>
      </c>
      <c r="K6" s="15">
        <f t="shared" si="3"/>
        <v>0.35352065114870923</v>
      </c>
      <c r="L6" s="15">
        <f t="shared" si="3"/>
        <v>0.2548537217495796</v>
      </c>
      <c r="M6" s="15">
        <f t="shared" si="3"/>
        <v>0.28153318998949467</v>
      </c>
      <c r="P6" s="19">
        <f>SLOPE(E6:M6,FECHAS)</f>
        <v>4.2144645376358024E-3</v>
      </c>
      <c r="Q6" s="27">
        <v>0</v>
      </c>
      <c r="R6" s="29" t="str">
        <f>IF(P6&gt;=0,"SI","NO")</f>
        <v>SI</v>
      </c>
    </row>
    <row r="7" spans="1:18" ht="15.75" x14ac:dyDescent="0.25">
      <c r="A7" s="2" t="s">
        <v>112</v>
      </c>
      <c r="E7" s="15">
        <f t="shared" ref="E7:M7" si="4">netIncome/totalRevenue</f>
        <v>0.21800530744509194</v>
      </c>
      <c r="F7" s="15">
        <f t="shared" si="4"/>
        <v>0.2157701169797944</v>
      </c>
      <c r="G7" s="15">
        <f t="shared" si="4"/>
        <v>0.11422128005051645</v>
      </c>
      <c r="H7" s="15">
        <f t="shared" si="4"/>
        <v>0.22464716157843576</v>
      </c>
      <c r="I7" s="15">
        <f t="shared" si="4"/>
        <v>0.21218112284300339</v>
      </c>
      <c r="J7" s="15">
        <f t="shared" si="4"/>
        <v>0.22061941520980458</v>
      </c>
      <c r="K7" s="15">
        <f t="shared" si="4"/>
        <v>0.29511677282377918</v>
      </c>
      <c r="L7" s="15">
        <f>netIncome/totalRevenue</f>
        <v>0.21321179327287143</v>
      </c>
      <c r="M7" s="15">
        <f t="shared" si="4"/>
        <v>0.24150818663498702</v>
      </c>
      <c r="P7" s="19">
        <f>AVERAGE(E7:M7)</f>
        <v>0.21725346187092046</v>
      </c>
      <c r="Q7" s="27">
        <v>0.2</v>
      </c>
      <c r="R7" s="29" t="str">
        <f>IF(P7&gt;=Q7,"SI","NO")</f>
        <v>SI</v>
      </c>
    </row>
    <row r="8" spans="1:18" ht="15.75" x14ac:dyDescent="0.25">
      <c r="A8" s="2" t="s">
        <v>113</v>
      </c>
      <c r="E8" s="15">
        <f t="shared" ref="E8:M8" si="5">researchAndDevelopment/ebit</f>
        <v>0.62171602126044034</v>
      </c>
      <c r="F8" s="15">
        <f t="shared" si="5"/>
        <v>0.57460657493614564</v>
      </c>
      <c r="G8" s="15">
        <f t="shared" si="5"/>
        <v>0.6089297487363563</v>
      </c>
      <c r="H8" s="15">
        <f t="shared" si="5"/>
        <v>0.61149970023125022</v>
      </c>
      <c r="I8" s="15">
        <f t="shared" si="5"/>
        <v>0.65495280050346127</v>
      </c>
      <c r="J8" s="15">
        <f t="shared" si="5"/>
        <v>0.57185225128066863</v>
      </c>
      <c r="K8" s="15">
        <f t="shared" si="5"/>
        <v>0.34653052261747913</v>
      </c>
      <c r="L8" s="15">
        <f t="shared" si="5"/>
        <v>0.55102183162446816</v>
      </c>
      <c r="M8" s="15">
        <f t="shared" si="5"/>
        <v>0.5280674222609707</v>
      </c>
      <c r="P8" s="19">
        <f>AVERAGE(E8:M8)</f>
        <v>0.56324187482791566</v>
      </c>
      <c r="Q8" s="27">
        <v>0.33</v>
      </c>
      <c r="R8" s="29" t="str">
        <f>IF(P8&lt;=Q8,"SI","NO")</f>
        <v>NO</v>
      </c>
    </row>
    <row r="9" spans="1:18" ht="15.75" x14ac:dyDescent="0.25">
      <c r="A9" s="2" t="s">
        <v>114</v>
      </c>
      <c r="E9" s="15">
        <f t="shared" ref="E9:M9" si="6">IF(IF(incomeBeforeTax&gt;=0,incomeTaxExpense/incomeBeforeTax,-incomeTaxExpense/incomeBeforeTax)&lt;=0,0,IF(incomeBeforeTax&gt;=0,incomeTaxExpense/incomeBeforeTax,-incomeTaxExpense/incomeBeforeTax))</f>
        <v>0.16808304920869166</v>
      </c>
      <c r="F9" s="15">
        <f t="shared" si="6"/>
        <v>0.19345755693581781</v>
      </c>
      <c r="G9" s="15">
        <f t="shared" si="6"/>
        <v>0.53436546169970212</v>
      </c>
      <c r="H9" s="15">
        <f t="shared" si="6"/>
        <v>0.1196402486179933</v>
      </c>
      <c r="I9" s="15">
        <f t="shared" si="6"/>
        <v>0.13329968454258675</v>
      </c>
      <c r="J9" s="15">
        <f t="shared" si="6"/>
        <v>0.16249324071378063</v>
      </c>
      <c r="K9" s="15">
        <f t="shared" si="6"/>
        <v>0.16202305640663919</v>
      </c>
      <c r="L9" s="15">
        <f t="shared" si="6"/>
        <v>0.1592081650964558</v>
      </c>
      <c r="M9" s="15">
        <f t="shared" si="6"/>
        <v>0.13908559562280529</v>
      </c>
      <c r="P9" s="20"/>
      <c r="Q9" s="28"/>
      <c r="R9" s="29"/>
    </row>
    <row r="10" spans="1:18" ht="15.75" x14ac:dyDescent="0.25">
      <c r="A10" s="2" t="s">
        <v>142</v>
      </c>
      <c r="E10" s="7">
        <f>reportedEPS</f>
        <v>1.4790000000000001</v>
      </c>
      <c r="F10" s="7">
        <f t="shared" ref="F10:M10" si="7">reportedEPS</f>
        <v>1.7170000000000001</v>
      </c>
      <c r="G10" s="7">
        <f t="shared" si="7"/>
        <v>1.6005</v>
      </c>
      <c r="H10" s="7">
        <f t="shared" si="7"/>
        <v>2.1850000000000001</v>
      </c>
      <c r="I10" s="7">
        <f t="shared" si="7"/>
        <v>2.4590000000000001</v>
      </c>
      <c r="J10" s="7">
        <f t="shared" si="7"/>
        <v>2.9434999999999998</v>
      </c>
      <c r="K10" s="7">
        <f t="shared" si="7"/>
        <v>5.6</v>
      </c>
      <c r="L10" s="7">
        <f t="shared" si="7"/>
        <v>4.55</v>
      </c>
      <c r="M10" s="7">
        <f t="shared" si="7"/>
        <v>5.8</v>
      </c>
      <c r="P10" s="20" t="b">
        <f>AND(SLOPE(E10:M10,FECHAS)&gt;=0,MIN(E10:M10)&gt;0)</f>
        <v>1</v>
      </c>
      <c r="Q10" s="28"/>
      <c r="R10" s="29" t="str">
        <f>IF(P10=TRUE,"SI","NO")</f>
        <v>SI</v>
      </c>
    </row>
    <row r="11" spans="1:18" ht="15.75" x14ac:dyDescent="0.25">
      <c r="A11" s="2" t="s">
        <v>115</v>
      </c>
      <c r="E11" s="15">
        <f t="shared" ref="E11:M11" si="8">interestExpense/ebit</f>
        <v>5.2644900025310051E-3</v>
      </c>
      <c r="F11" s="15">
        <f t="shared" si="8"/>
        <v>5.1083463788415585E-3</v>
      </c>
      <c r="G11" s="15">
        <f t="shared" si="8"/>
        <v>3.9923815105120507E-3</v>
      </c>
      <c r="H11" s="15">
        <f t="shared" si="8"/>
        <v>3.2546321409198616E-3</v>
      </c>
      <c r="I11" s="15">
        <f t="shared" si="8"/>
        <v>2.5173064820641915E-3</v>
      </c>
      <c r="J11" s="15">
        <f t="shared" si="8"/>
        <v>2.799842379243835E-3</v>
      </c>
      <c r="K11" s="15">
        <f t="shared" si="8"/>
        <v>3.7988581466842338E-3</v>
      </c>
      <c r="L11" s="15">
        <f t="shared" si="8"/>
        <v>4.980121364302155E-3</v>
      </c>
      <c r="M11" s="15">
        <f t="shared" si="8"/>
        <v>3.5803545480964836E-3</v>
      </c>
      <c r="P11" s="21">
        <f>AVERAGE(E11:M11)</f>
        <v>3.9218147725772643E-3</v>
      </c>
      <c r="Q11" s="27">
        <v>0.15</v>
      </c>
      <c r="R11" s="29" t="str">
        <f>IF(P11&lt;=Q11,"SI","NO")</f>
        <v>SI</v>
      </c>
    </row>
    <row r="12" spans="1:18" ht="15.75" x14ac:dyDescent="0.25">
      <c r="A12" s="2"/>
      <c r="P12" s="11"/>
      <c r="Q12" s="11"/>
      <c r="R12" s="29"/>
    </row>
    <row r="13" spans="1:18" ht="15.75" x14ac:dyDescent="0.25">
      <c r="A13" s="2"/>
      <c r="P13" s="11"/>
      <c r="Q13" s="11"/>
      <c r="R13" s="29"/>
    </row>
    <row r="14" spans="1:18" ht="21" x14ac:dyDescent="0.35">
      <c r="A14" s="13" t="s">
        <v>116</v>
      </c>
      <c r="P14" s="18" t="s">
        <v>140</v>
      </c>
      <c r="Q14" s="25" t="s">
        <v>107</v>
      </c>
      <c r="R14" s="29"/>
    </row>
    <row r="15" spans="1:18" ht="15.75" x14ac:dyDescent="0.25">
      <c r="A15" s="2" t="s">
        <v>117</v>
      </c>
      <c r="E15" s="8">
        <f t="shared" ref="E15:M15" si="9">totalCurrentAssets/totalCurrentLiabilities</f>
        <v>4.6667011910926979</v>
      </c>
      <c r="F15" s="8">
        <f t="shared" si="9"/>
        <v>6.2907615182621148</v>
      </c>
      <c r="G15" s="8">
        <f t="shared" si="9"/>
        <v>5.1403051730554523</v>
      </c>
      <c r="H15" s="8">
        <f t="shared" si="9"/>
        <v>3.919006354708261</v>
      </c>
      <c r="I15" s="8">
        <f t="shared" si="9"/>
        <v>3.3740518785520002</v>
      </c>
      <c r="J15" s="8">
        <f t="shared" si="9"/>
        <v>3.0667558151810534</v>
      </c>
      <c r="K15" s="8">
        <f t="shared" si="9"/>
        <v>2.9281134248451459</v>
      </c>
      <c r="L15" s="8">
        <f t="shared" si="9"/>
        <v>2.3779942279942281</v>
      </c>
      <c r="M15" s="8">
        <f t="shared" si="9"/>
        <v>2.0965849365634242</v>
      </c>
      <c r="P15" s="30">
        <f>M15</f>
        <v>2.0965849365634242</v>
      </c>
      <c r="Q15" s="25">
        <v>1</v>
      </c>
      <c r="R15" s="29" t="str">
        <f>IF(P15&gt;=Q15,"SI","NO")</f>
        <v>SI</v>
      </c>
    </row>
    <row r="16" spans="1:18" ht="15.75" x14ac:dyDescent="0.25">
      <c r="A16" s="2" t="s">
        <v>118</v>
      </c>
      <c r="E16" s="10">
        <f t="shared" ref="E16:M16" si="10">totalLiabilities/totalShareholderEquity</f>
        <v>0.22546143554030135</v>
      </c>
      <c r="F16" s="10">
        <f t="shared" si="10"/>
        <v>0.20470237923990908</v>
      </c>
      <c r="G16" s="10">
        <f t="shared" si="10"/>
        <v>0.29372073808868082</v>
      </c>
      <c r="H16" s="10">
        <f t="shared" si="10"/>
        <v>0.31055914608057289</v>
      </c>
      <c r="I16" s="10">
        <f t="shared" si="10"/>
        <v>0.36966968159569502</v>
      </c>
      <c r="J16" s="10">
        <f t="shared" si="10"/>
        <v>0.43619239341433602</v>
      </c>
      <c r="K16" s="10">
        <f t="shared" si="10"/>
        <v>0.42773461561388521</v>
      </c>
      <c r="L16" s="10">
        <f t="shared" si="10"/>
        <v>0.42601036916734336</v>
      </c>
      <c r="M16" s="10">
        <f t="shared" si="10"/>
        <v>0.41997819175027085</v>
      </c>
      <c r="P16" s="22">
        <f>M16</f>
        <v>0.41997819175027085</v>
      </c>
      <c r="Q16" s="25">
        <v>0.5</v>
      </c>
      <c r="R16" s="29" t="str">
        <f>IF(P16&lt;=Q16,"SI","NO")</f>
        <v>SI</v>
      </c>
    </row>
    <row r="17" spans="1:18" ht="15.75" x14ac:dyDescent="0.25">
      <c r="A17" s="2" t="s">
        <v>145</v>
      </c>
      <c r="E17" s="10">
        <f t="shared" ref="E17:M17" si="11">totalLiabilities/totalAssets</f>
        <v>0.18398084917367982</v>
      </c>
      <c r="F17" s="10">
        <f t="shared" si="11"/>
        <v>0.16991946124408197</v>
      </c>
      <c r="G17" s="10">
        <f t="shared" si="11"/>
        <v>0.22703565726450239</v>
      </c>
      <c r="H17" s="10">
        <f t="shared" si="11"/>
        <v>0.2369669060792467</v>
      </c>
      <c r="I17" s="10">
        <f t="shared" si="11"/>
        <v>0.26989695877988756</v>
      </c>
      <c r="J17" s="10">
        <f t="shared" si="11"/>
        <v>0.30371445734881858</v>
      </c>
      <c r="K17" s="10">
        <f t="shared" si="11"/>
        <v>0.2995897213222441</v>
      </c>
      <c r="L17" s="10">
        <f t="shared" si="11"/>
        <v>0.29874282710587413</v>
      </c>
      <c r="M17" s="10">
        <f t="shared" si="11"/>
        <v>0.29576383228294795</v>
      </c>
      <c r="P17" s="22">
        <f>M17</f>
        <v>0.29576383228294795</v>
      </c>
      <c r="Q17" s="26">
        <f>1/3</f>
        <v>0.33333333333333331</v>
      </c>
      <c r="R17" s="29" t="str">
        <f>IF(P17&lt;=Q17,"SI","NO")</f>
        <v>SI</v>
      </c>
    </row>
    <row r="18" spans="1:18" ht="15.75" x14ac:dyDescent="0.25">
      <c r="A18" s="2" t="s">
        <v>119</v>
      </c>
      <c r="E18" s="8">
        <f t="shared" ref="E18:M18" si="12">totalNonCurrentLiabilities/(AVERAGE(netIncome))</f>
        <v>0.19354519354519353</v>
      </c>
      <c r="F18" s="8">
        <f t="shared" si="12"/>
        <v>0.28969903969903971</v>
      </c>
      <c r="G18" s="8">
        <f t="shared" si="12"/>
        <v>0.49945549945549944</v>
      </c>
      <c r="H18" s="8">
        <f t="shared" si="12"/>
        <v>0.47718047718047718</v>
      </c>
      <c r="I18" s="8">
        <f t="shared" si="12"/>
        <v>0.47104247104247104</v>
      </c>
      <c r="J18" s="8">
        <f t="shared" si="12"/>
        <v>0.99589149589149584</v>
      </c>
      <c r="K18" s="8">
        <f t="shared" si="12"/>
        <v>1.0736313236313237</v>
      </c>
      <c r="L18" s="8">
        <f t="shared" si="12"/>
        <v>0.98554598554598549</v>
      </c>
      <c r="M18" s="8">
        <f t="shared" si="12"/>
        <v>0.92067617067617069</v>
      </c>
      <c r="P18" s="23">
        <f>M18</f>
        <v>0.92067617067617069</v>
      </c>
      <c r="Q18" s="25">
        <v>5</v>
      </c>
      <c r="R18" s="29" t="str">
        <f>IF(P18&lt;=Q18,"SI","NO")</f>
        <v>SI</v>
      </c>
    </row>
    <row r="19" spans="1:18" ht="15.75" x14ac:dyDescent="0.25">
      <c r="A19" s="2" t="s">
        <v>120</v>
      </c>
      <c r="E19" s="8">
        <f t="shared" ref="E19:M19" si="13">LOG(retainedEarnings)</f>
        <v>10.950476821702523</v>
      </c>
      <c r="F19" s="8">
        <f t="shared" si="13"/>
        <v>11.021730795417453</v>
      </c>
      <c r="G19" s="8">
        <f t="shared" si="13"/>
        <v>11.054026706042903</v>
      </c>
      <c r="H19" s="8">
        <f t="shared" si="13"/>
        <v>11.129963656273567</v>
      </c>
      <c r="I19" s="8">
        <f t="shared" si="13"/>
        <v>11.182192026595278</v>
      </c>
      <c r="J19" s="8">
        <f t="shared" si="13"/>
        <v>11.213254710049229</v>
      </c>
      <c r="K19" s="8">
        <f t="shared" si="13"/>
        <v>11.282132491087868</v>
      </c>
      <c r="L19" s="8">
        <f t="shared" si="13"/>
        <v>11.291286690861446</v>
      </c>
      <c r="M19" s="8">
        <f t="shared" si="13"/>
        <v>11.324790550082335</v>
      </c>
      <c r="P19" s="23">
        <f>10^SLOPE(E19:M19,FECHAS)-1</f>
        <v>0.11538231370644048</v>
      </c>
      <c r="Q19" s="25">
        <v>0</v>
      </c>
      <c r="R19" s="29" t="str">
        <f>IF(P19&gt;=Q19,"SI","NO")</f>
        <v>SI</v>
      </c>
    </row>
    <row r="20" spans="1:18" ht="15.75" x14ac:dyDescent="0.25">
      <c r="A20" s="2" t="s">
        <v>121</v>
      </c>
      <c r="E20" s="8">
        <f t="shared" ref="E20:L20" si="14">totalRevenue/inventory</f>
        <v>152.72708757637474</v>
      </c>
      <c r="F20" s="8">
        <f t="shared" si="14"/>
        <v>336.83582089552237</v>
      </c>
      <c r="G20" s="8">
        <f t="shared" si="14"/>
        <v>148.00400534045394</v>
      </c>
      <c r="H20" s="8">
        <f t="shared" si="14"/>
        <v>123.5943992773261</v>
      </c>
      <c r="I20" s="8">
        <f t="shared" si="14"/>
        <v>162.01901901901903</v>
      </c>
      <c r="J20" s="8">
        <f t="shared" si="14"/>
        <v>250.72390109890111</v>
      </c>
      <c r="K20" s="8">
        <f t="shared" si="14"/>
        <v>220.20256410256411</v>
      </c>
      <c r="L20" s="8">
        <f t="shared" si="14"/>
        <v>105.34794007490636</v>
      </c>
      <c r="M20" s="8">
        <f>IF(inventory=0,0,totalRevenue/inventory)</f>
        <v>0</v>
      </c>
      <c r="P20" s="23" t="e">
        <f>SLOPE(E20:L20,#REF!)</f>
        <v>#REF!</v>
      </c>
      <c r="Q20" s="25">
        <v>0</v>
      </c>
      <c r="R20" s="29" t="e">
        <f>IF(P20&gt;Q20,"SI","NO")</f>
        <v>#REF!</v>
      </c>
    </row>
    <row r="21" spans="1:18" ht="15.75" x14ac:dyDescent="0.25">
      <c r="A21" s="2" t="s">
        <v>122</v>
      </c>
      <c r="E21" s="8">
        <f t="shared" ref="E21:M21" si="15">totalRevenue/WORKIG_CAPITAL</f>
        <v>3.974727624963891</v>
      </c>
      <c r="F21" s="8">
        <f t="shared" si="15"/>
        <v>4.1894224878872821</v>
      </c>
      <c r="G21" s="8">
        <f t="shared" si="15"/>
        <v>4.4622676636040692</v>
      </c>
      <c r="H21" s="8">
        <f t="shared" si="15"/>
        <v>4.7180673783016278</v>
      </c>
      <c r="I21" s="8">
        <f t="shared" si="15"/>
        <v>4.5677348711790797</v>
      </c>
      <c r="J21" s="8">
        <f t="shared" si="15"/>
        <v>4.4367983451367126</v>
      </c>
      <c r="K21" s="8">
        <f t="shared" si="15"/>
        <v>4.6556262011227192</v>
      </c>
      <c r="L21" s="8">
        <f t="shared" si="15"/>
        <v>4.6904106208296126</v>
      </c>
      <c r="M21" s="8">
        <f t="shared" si="15"/>
        <v>4.4673054191621366</v>
      </c>
      <c r="P21" s="23">
        <f>SLOPE(E21:M21,FECHAS)</f>
        <v>5.9645393624872645E-2</v>
      </c>
      <c r="Q21" s="25">
        <v>0</v>
      </c>
      <c r="R21" s="29" t="str">
        <f t="shared" ref="R21:R23" si="16">IF(P21&gt;Q21,"SI","NO")</f>
        <v>SI</v>
      </c>
    </row>
    <row r="22" spans="1:18" ht="15.75" x14ac:dyDescent="0.25">
      <c r="A22" s="2" t="s">
        <v>123</v>
      </c>
      <c r="E22" s="8">
        <f t="shared" ref="E22:M22" si="17">totalRevenue/propertyPlantEquipment</f>
        <v>2.5844017094017095</v>
      </c>
      <c r="F22" s="8">
        <f t="shared" si="17"/>
        <v>2.6369106735993455</v>
      </c>
      <c r="G22" s="8">
        <f t="shared" si="17"/>
        <v>2.6155534058466836</v>
      </c>
      <c r="H22" s="8">
        <f t="shared" si="17"/>
        <v>2.2910464006430113</v>
      </c>
      <c r="I22" s="8">
        <f t="shared" si="17"/>
        <v>2.1977704152296118</v>
      </c>
      <c r="J22" s="8">
        <f t="shared" si="17"/>
        <v>2.153736327272298</v>
      </c>
      <c r="K22" s="8">
        <f t="shared" si="17"/>
        <v>2.639750407278763</v>
      </c>
      <c r="L22" s="8">
        <f t="shared" si="17"/>
        <v>2.496529626868321</v>
      </c>
      <c r="M22" s="8">
        <f t="shared" si="17"/>
        <v>2.2744352227474041</v>
      </c>
      <c r="P22" s="23">
        <f>SLOPE(E22:M22,FECHAS)</f>
        <v>-2.9165419288614165E-2</v>
      </c>
      <c r="Q22" s="25">
        <v>0</v>
      </c>
      <c r="R22" s="29" t="str">
        <f t="shared" si="16"/>
        <v>NO</v>
      </c>
    </row>
    <row r="23" spans="1:18" ht="15.75" x14ac:dyDescent="0.25">
      <c r="A23" s="2" t="s">
        <v>124</v>
      </c>
      <c r="E23" s="8">
        <f t="shared" ref="E23:M23" si="18">totalRevenue/totalAssets</f>
        <v>0.50853445995890434</v>
      </c>
      <c r="F23" s="8">
        <f t="shared" si="18"/>
        <v>0.53894696621432026</v>
      </c>
      <c r="G23" s="8">
        <f t="shared" si="18"/>
        <v>0.5618743505917535</v>
      </c>
      <c r="H23" s="8">
        <f t="shared" si="18"/>
        <v>0.58773067803017287</v>
      </c>
      <c r="I23" s="8">
        <f t="shared" si="18"/>
        <v>0.58663182426089766</v>
      </c>
      <c r="J23" s="8">
        <f t="shared" si="18"/>
        <v>0.57108217360833002</v>
      </c>
      <c r="K23" s="8">
        <f t="shared" si="18"/>
        <v>0.71711647015598379</v>
      </c>
      <c r="L23" s="8">
        <f t="shared" si="18"/>
        <v>0.77007041482325111</v>
      </c>
      <c r="M23" s="8">
        <f t="shared" si="18"/>
        <v>0.7593565478438935</v>
      </c>
      <c r="P23" s="23">
        <f>SLOPE(E23:M23,FECHAS)</f>
        <v>3.3174907201222778E-2</v>
      </c>
      <c r="Q23" s="25">
        <v>0</v>
      </c>
      <c r="R23" s="29" t="str">
        <f t="shared" si="16"/>
        <v>SI</v>
      </c>
    </row>
    <row r="24" spans="1:18" ht="15.75" x14ac:dyDescent="0.25">
      <c r="A24" s="2" t="s">
        <v>125</v>
      </c>
      <c r="E24" s="9">
        <f t="shared" ref="E24:M24" si="19">totalCurrentAssets-totalLiabilities</f>
        <v>62984000000</v>
      </c>
      <c r="F24" s="9">
        <f t="shared" si="19"/>
        <v>76947000000</v>
      </c>
      <c r="G24" s="9">
        <f t="shared" si="19"/>
        <v>79515000000</v>
      </c>
      <c r="H24" s="9">
        <f t="shared" si="19"/>
        <v>80512000000</v>
      </c>
      <c r="I24" s="9">
        <f t="shared" si="19"/>
        <v>78111000000</v>
      </c>
      <c r="J24" s="9">
        <f t="shared" si="19"/>
        <v>77224000000</v>
      </c>
      <c r="K24" s="9">
        <f t="shared" si="19"/>
        <v>80510000000</v>
      </c>
      <c r="L24" s="9">
        <f t="shared" si="19"/>
        <v>55675000000</v>
      </c>
      <c r="M24" s="9">
        <f t="shared" si="19"/>
        <v>52517000000</v>
      </c>
      <c r="P24" s="24">
        <f>M24</f>
        <v>52517000000</v>
      </c>
      <c r="Q24" s="25">
        <v>0</v>
      </c>
      <c r="R24" s="29" t="str">
        <f>IF(P24&gt;Q24,"SI","NO")</f>
        <v>SI</v>
      </c>
    </row>
    <row r="25" spans="1:18" ht="15.75" x14ac:dyDescent="0.25">
      <c r="P25" s="11"/>
      <c r="Q25" s="11"/>
      <c r="R25" s="29"/>
    </row>
    <row r="26" spans="1:18" ht="15.75" x14ac:dyDescent="0.25">
      <c r="A26" t="s">
        <v>126</v>
      </c>
      <c r="E26" s="9">
        <f t="shared" ref="E26:M26" si="20">totalCurrentAssets-currentAccountsPayable-E33</f>
        <v>18866450000</v>
      </c>
      <c r="F26" s="9">
        <f t="shared" si="20"/>
        <v>21547600000</v>
      </c>
      <c r="G26" s="9">
        <f t="shared" si="20"/>
        <v>24842750000</v>
      </c>
      <c r="H26" s="9">
        <f t="shared" si="20"/>
        <v>28998950000</v>
      </c>
      <c r="I26" s="9">
        <f t="shared" si="20"/>
        <v>35434850000</v>
      </c>
      <c r="J26" s="9">
        <f t="shared" si="20"/>
        <v>41139350000</v>
      </c>
      <c r="K26" s="9">
        <f t="shared" si="20"/>
        <v>55338850000</v>
      </c>
      <c r="L26" s="9">
        <f t="shared" si="20"/>
        <v>59968950000</v>
      </c>
      <c r="M26" s="9">
        <f t="shared" si="20"/>
        <v>68398950000</v>
      </c>
      <c r="P26" s="11"/>
      <c r="Q26" s="11"/>
      <c r="R26" s="29"/>
    </row>
    <row r="27" spans="1:18" ht="15.75" x14ac:dyDescent="0.25">
      <c r="P27" s="11"/>
      <c r="Q27" s="11"/>
      <c r="R27" s="29"/>
    </row>
    <row r="28" spans="1:18" ht="15.75" x14ac:dyDescent="0.25">
      <c r="P28" s="11"/>
      <c r="Q28" s="11"/>
      <c r="R28" s="29"/>
    </row>
    <row r="29" spans="1:18" ht="21" x14ac:dyDescent="0.35">
      <c r="A29" s="13" t="s">
        <v>147</v>
      </c>
      <c r="P29" s="11"/>
      <c r="Q29" s="11"/>
      <c r="R29" s="29"/>
    </row>
    <row r="30" spans="1:18" ht="15.75" x14ac:dyDescent="0.25">
      <c r="A30" t="s">
        <v>127</v>
      </c>
      <c r="P30" s="11"/>
      <c r="Q30" s="11"/>
      <c r="R30" s="29"/>
    </row>
    <row r="31" spans="1:18" ht="15.75" x14ac:dyDescent="0.25">
      <c r="A31" t="s">
        <v>128</v>
      </c>
      <c r="E31" s="7">
        <f t="shared" ref="E31:M31" si="21">totalAssets</f>
        <v>147461000000</v>
      </c>
      <c r="F31" s="7">
        <f t="shared" si="21"/>
        <v>167497000000</v>
      </c>
      <c r="G31" s="7">
        <f t="shared" si="21"/>
        <v>197295000000</v>
      </c>
      <c r="H31" s="7">
        <f t="shared" si="21"/>
        <v>232792000000</v>
      </c>
      <c r="I31" s="7">
        <f t="shared" si="21"/>
        <v>275909000000</v>
      </c>
      <c r="J31" s="7">
        <f t="shared" si="21"/>
        <v>319616000000</v>
      </c>
      <c r="K31" s="7">
        <f t="shared" si="21"/>
        <v>359268000000</v>
      </c>
      <c r="L31" s="7">
        <f t="shared" si="21"/>
        <v>365264000000</v>
      </c>
      <c r="M31" s="7">
        <f t="shared" si="21"/>
        <v>402392000000</v>
      </c>
      <c r="P31" s="11"/>
      <c r="Q31" s="11"/>
      <c r="R31" s="29"/>
    </row>
    <row r="32" spans="1:18" ht="15.75" x14ac:dyDescent="0.25">
      <c r="A32" t="s">
        <v>129</v>
      </c>
      <c r="P32" s="11"/>
      <c r="Q32" s="11"/>
      <c r="R32" s="29"/>
    </row>
    <row r="33" spans="1:19" ht="15.75" x14ac:dyDescent="0.25">
      <c r="A33" t="s">
        <v>130</v>
      </c>
      <c r="E33" s="7">
        <f t="shared" ref="E33:M33" si="22">IF(cashAndShortTermInvestments&gt;totalRevenue*0.05,cashAndShortTermInvestments-totalRevenue*0.05,0)</f>
        <v>69316550000</v>
      </c>
      <c r="F33" s="7">
        <f t="shared" si="22"/>
        <v>81819400000</v>
      </c>
      <c r="G33" s="7">
        <f t="shared" si="22"/>
        <v>96328250000</v>
      </c>
      <c r="H33" s="7">
        <f t="shared" si="22"/>
        <v>102299050000</v>
      </c>
      <c r="I33" s="7">
        <f t="shared" si="22"/>
        <v>111582150000</v>
      </c>
      <c r="J33" s="7">
        <f t="shared" si="22"/>
        <v>127567650000</v>
      </c>
      <c r="K33" s="7">
        <f t="shared" si="22"/>
        <v>126767150000</v>
      </c>
      <c r="L33" s="7">
        <f t="shared" si="22"/>
        <v>99698050000</v>
      </c>
      <c r="M33" s="7">
        <f t="shared" si="22"/>
        <v>95638050000</v>
      </c>
      <c r="P33" s="11"/>
      <c r="Q33" s="11"/>
      <c r="R33" s="29"/>
    </row>
    <row r="34" spans="1:19" ht="15.75" x14ac:dyDescent="0.25">
      <c r="A34" t="s">
        <v>131</v>
      </c>
      <c r="E34" s="7" cm="1">
        <f t="array" ref="E34:M34">longTermInvestments</f>
        <v>9383000000</v>
      </c>
      <c r="F34" s="7">
        <v>10578000000</v>
      </c>
      <c r="G34" s="7">
        <v>13713000000</v>
      </c>
      <c r="H34" s="7">
        <v>15159000000</v>
      </c>
      <c r="I34" s="7">
        <v>14378000000</v>
      </c>
      <c r="J34" s="7">
        <v>22103000000</v>
      </c>
      <c r="K34" s="7">
        <v>31049000000</v>
      </c>
      <c r="L34" s="7">
        <v>32795000000</v>
      </c>
      <c r="M34" s="7">
        <v>34108000000</v>
      </c>
      <c r="P34" s="11"/>
      <c r="Q34" s="11"/>
      <c r="R34" s="29"/>
    </row>
    <row r="35" spans="1:19" ht="15.75" x14ac:dyDescent="0.25">
      <c r="A35" t="s">
        <v>132</v>
      </c>
      <c r="E35" s="7" cm="1">
        <f t="array" ref="E35:M35">goodwill</f>
        <v>15869000000</v>
      </c>
      <c r="F35" s="7">
        <v>16468000000</v>
      </c>
      <c r="G35" s="7">
        <v>16747000000</v>
      </c>
      <c r="H35" s="7">
        <v>17888000000</v>
      </c>
      <c r="I35" s="7">
        <v>20624000000</v>
      </c>
      <c r="J35" s="7">
        <v>21175000000</v>
      </c>
      <c r="K35" s="7">
        <v>22956000000</v>
      </c>
      <c r="L35" s="7">
        <v>28960000000</v>
      </c>
      <c r="M35" s="7">
        <v>29198000000</v>
      </c>
      <c r="P35" s="11"/>
      <c r="Q35" s="11"/>
      <c r="R35" s="29"/>
    </row>
    <row r="36" spans="1:19" ht="15.75" x14ac:dyDescent="0.25">
      <c r="A36" t="s">
        <v>133</v>
      </c>
      <c r="P36" s="11"/>
      <c r="Q36" s="11"/>
      <c r="R36" s="29"/>
    </row>
    <row r="37" spans="1:19" ht="15.75" x14ac:dyDescent="0.25">
      <c r="A37" t="s">
        <v>134</v>
      </c>
      <c r="E37" s="7" cm="1">
        <f t="array" ref="E37:M37">currentAccountsPayable</f>
        <v>1931000000</v>
      </c>
      <c r="F37" s="7">
        <v>2041000000</v>
      </c>
      <c r="G37" s="7">
        <v>3137000000</v>
      </c>
      <c r="H37" s="7">
        <v>4378000000</v>
      </c>
      <c r="I37" s="7">
        <v>5561000000</v>
      </c>
      <c r="J37" s="7">
        <v>5589000000</v>
      </c>
      <c r="K37" s="7">
        <v>6037000000</v>
      </c>
      <c r="L37" s="7">
        <v>5128000000</v>
      </c>
      <c r="M37" s="7">
        <v>7493000000</v>
      </c>
      <c r="P37" s="11"/>
      <c r="Q37" s="11"/>
      <c r="R37" s="29"/>
    </row>
    <row r="38" spans="1:19" ht="15.75" x14ac:dyDescent="0.25">
      <c r="A38" t="s">
        <v>135</v>
      </c>
      <c r="E38" s="7">
        <f>E31-E33-E34-E35-E37</f>
        <v>50961450000</v>
      </c>
      <c r="F38" s="7">
        <f t="shared" ref="F38:M38" si="23">F31-F33-F34-F35-F37</f>
        <v>56590600000</v>
      </c>
      <c r="G38" s="7">
        <f t="shared" si="23"/>
        <v>67369750000</v>
      </c>
      <c r="H38" s="7">
        <f t="shared" si="23"/>
        <v>93067950000</v>
      </c>
      <c r="I38" s="7">
        <f t="shared" si="23"/>
        <v>123763850000</v>
      </c>
      <c r="J38" s="7">
        <f t="shared" si="23"/>
        <v>143181350000</v>
      </c>
      <c r="K38" s="7">
        <f t="shared" si="23"/>
        <v>172458850000</v>
      </c>
      <c r="L38" s="7">
        <f t="shared" si="23"/>
        <v>198682950000</v>
      </c>
      <c r="M38" s="7">
        <f t="shared" si="23"/>
        <v>235954950000</v>
      </c>
      <c r="P38" s="11"/>
      <c r="Q38" s="11"/>
      <c r="R38" s="29"/>
    </row>
    <row r="39" spans="1:19" ht="15.75" x14ac:dyDescent="0.25">
      <c r="P39" s="11"/>
      <c r="Q39" s="11"/>
      <c r="R39" s="29"/>
    </row>
    <row r="40" spans="1:19" ht="15.75" x14ac:dyDescent="0.25">
      <c r="A40" t="s">
        <v>136</v>
      </c>
      <c r="E40" s="7">
        <f>F38-E38</f>
        <v>5629150000</v>
      </c>
      <c r="F40" s="7">
        <f t="shared" ref="F40:L40" si="24">G38-F38</f>
        <v>10779150000</v>
      </c>
      <c r="G40" s="7">
        <f t="shared" si="24"/>
        <v>25698200000</v>
      </c>
      <c r="H40" s="7">
        <f t="shared" si="24"/>
        <v>30695900000</v>
      </c>
      <c r="I40" s="7">
        <f t="shared" si="24"/>
        <v>19417500000</v>
      </c>
      <c r="J40" s="7">
        <f t="shared" si="24"/>
        <v>29277500000</v>
      </c>
      <c r="K40" s="7">
        <f t="shared" si="24"/>
        <v>26224100000</v>
      </c>
      <c r="L40" s="7">
        <f t="shared" si="24"/>
        <v>37272000000</v>
      </c>
      <c r="M40" s="7">
        <f>N38-M38</f>
        <v>-235954950000</v>
      </c>
      <c r="P40" s="11"/>
      <c r="Q40" s="11"/>
      <c r="R40" s="29"/>
      <c r="S40" t="s">
        <v>148</v>
      </c>
    </row>
    <row r="41" spans="1:19" ht="15.75" x14ac:dyDescent="0.25">
      <c r="A41" t="s">
        <v>137</v>
      </c>
      <c r="E41" s="7">
        <f t="shared" ref="E41:M41" si="25">ebit*(1-E9)</f>
        <v>16434519362.882296</v>
      </c>
      <c r="F41" s="7">
        <f t="shared" si="25"/>
        <v>19578011262.93996</v>
      </c>
      <c r="G41" s="7">
        <f t="shared" si="25"/>
        <v>12712754164.674732</v>
      </c>
      <c r="H41" s="7">
        <f t="shared" si="25"/>
        <v>30836361011.657551</v>
      </c>
      <c r="I41" s="7">
        <f t="shared" si="25"/>
        <v>34429670031.545738</v>
      </c>
      <c r="J41" s="7">
        <f t="shared" si="25"/>
        <v>40382063412.503639</v>
      </c>
      <c r="K41" s="7">
        <f t="shared" si="25"/>
        <v>76322940022.483307</v>
      </c>
      <c r="L41" s="7">
        <f t="shared" si="25"/>
        <v>60272162685.060562</v>
      </c>
      <c r="M41" s="7">
        <f t="shared" si="25"/>
        <v>74060161636.548172</v>
      </c>
      <c r="R41" s="29"/>
    </row>
    <row r="42" spans="1:19" ht="15.75" x14ac:dyDescent="0.25">
      <c r="P42" s="18" t="s">
        <v>140</v>
      </c>
      <c r="Q42" s="17" t="s">
        <v>107</v>
      </c>
      <c r="R42" s="29"/>
    </row>
    <row r="43" spans="1:19" ht="15.75" x14ac:dyDescent="0.25">
      <c r="A43" s="2" t="s">
        <v>138</v>
      </c>
      <c r="E43" s="10">
        <f>E41/E38</f>
        <v>0.32248924163033615</v>
      </c>
      <c r="F43" s="10">
        <f t="shared" ref="F43:M43" si="26">F41/F38</f>
        <v>0.34595871510356774</v>
      </c>
      <c r="G43" s="10">
        <f t="shared" si="26"/>
        <v>0.18870122220543689</v>
      </c>
      <c r="H43" s="10">
        <f t="shared" si="26"/>
        <v>0.33133168842396926</v>
      </c>
      <c r="I43" s="10">
        <f t="shared" si="26"/>
        <v>0.27818842118717008</v>
      </c>
      <c r="J43" s="10">
        <f t="shared" si="26"/>
        <v>0.28203438096165206</v>
      </c>
      <c r="K43" s="10">
        <f t="shared" si="26"/>
        <v>0.44255739860542564</v>
      </c>
      <c r="L43" s="10">
        <f t="shared" si="26"/>
        <v>0.303358505020489</v>
      </c>
      <c r="M43" s="10">
        <f t="shared" si="26"/>
        <v>0.31387415960779025</v>
      </c>
      <c r="N43" s="10"/>
      <c r="O43" s="6"/>
      <c r="P43" s="32">
        <f>AVERAGE(E43:M43)</f>
        <v>0.31205485919398185</v>
      </c>
      <c r="Q43" s="31">
        <v>0.15</v>
      </c>
      <c r="R43" s="29" t="str">
        <f>IF(P43&gt;=Q43,"SI","NO")</f>
        <v>SI</v>
      </c>
    </row>
    <row r="44" spans="1:19" ht="15.75" x14ac:dyDescent="0.25">
      <c r="A44" s="2" t="s">
        <v>139</v>
      </c>
      <c r="E44" s="9">
        <f t="shared" ref="E44:M44" si="27">(E43-wacc)*E38</f>
        <v>8790301862.8822956</v>
      </c>
      <c r="F44" s="9">
        <f t="shared" si="27"/>
        <v>11089421262.93996</v>
      </c>
      <c r="G44" s="9">
        <f t="shared" si="27"/>
        <v>2607291664.6747322</v>
      </c>
      <c r="H44" s="9">
        <f t="shared" si="27"/>
        <v>16876168511.657551</v>
      </c>
      <c r="I44" s="9">
        <f t="shared" si="27"/>
        <v>15865092531.54574</v>
      </c>
      <c r="J44" s="9">
        <f t="shared" si="27"/>
        <v>18904860912.503643</v>
      </c>
      <c r="K44" s="9">
        <f t="shared" si="27"/>
        <v>50454112522.483307</v>
      </c>
      <c r="L44" s="9">
        <f t="shared" si="27"/>
        <v>30469720185.060566</v>
      </c>
      <c r="M44" s="9">
        <f t="shared" si="27"/>
        <v>38666919136.548172</v>
      </c>
      <c r="P44" s="24">
        <f>AVERAGE(E50:M50)</f>
        <v>32588375530.236816</v>
      </c>
      <c r="Q44" s="17">
        <v>0</v>
      </c>
      <c r="R44" s="29" t="str">
        <f>IF(P44&gt;=Q44,"SI","NO")</f>
        <v>SI</v>
      </c>
      <c r="S44" t="s">
        <v>153</v>
      </c>
    </row>
    <row r="45" spans="1:19" ht="15.75" x14ac:dyDescent="0.25">
      <c r="A45" s="2" t="s">
        <v>150</v>
      </c>
      <c r="E45" s="9">
        <f>E41-E40</f>
        <v>10805369362.882296</v>
      </c>
      <c r="F45" s="9">
        <f t="shared" ref="F45:M45" si="28">F41-F40</f>
        <v>8798861262.9399605</v>
      </c>
      <c r="G45" s="9">
        <f t="shared" si="28"/>
        <v>-12985445835.325268</v>
      </c>
      <c r="H45" s="9">
        <f t="shared" si="28"/>
        <v>140461011.65755081</v>
      </c>
      <c r="I45" s="9">
        <f t="shared" si="28"/>
        <v>15012170031.545738</v>
      </c>
      <c r="J45" s="9">
        <f t="shared" si="28"/>
        <v>11104563412.503639</v>
      </c>
      <c r="K45" s="9">
        <f t="shared" si="28"/>
        <v>50098840022.483307</v>
      </c>
      <c r="L45" s="9">
        <f t="shared" si="28"/>
        <v>23000162685.060562</v>
      </c>
      <c r="M45" s="9">
        <f t="shared" si="28"/>
        <v>310015111636.54816</v>
      </c>
      <c r="P45" s="24">
        <f>AVERAGE(E51:M51)</f>
        <v>52507939614.332649</v>
      </c>
      <c r="Q45" s="17">
        <v>0</v>
      </c>
      <c r="R45" s="29" t="str">
        <f>IF(P45&gt;=Q45,"SI","NO")</f>
        <v>SI</v>
      </c>
      <c r="S45" t="s">
        <v>154</v>
      </c>
    </row>
    <row r="46" spans="1:19" ht="15.75" x14ac:dyDescent="0.25">
      <c r="A46" s="2" t="s">
        <v>151</v>
      </c>
      <c r="E46" s="10">
        <f t="shared" ref="E46:M46" si="29">E44/totalRevenue</f>
        <v>0.1172212172836322</v>
      </c>
      <c r="F46" s="10">
        <f t="shared" si="29"/>
        <v>0.1228445283469953</v>
      </c>
      <c r="G46" s="10">
        <f t="shared" si="29"/>
        <v>2.3519838209144668E-2</v>
      </c>
      <c r="H46" s="10">
        <f t="shared" si="29"/>
        <v>0.12334667342735695</v>
      </c>
      <c r="I46" s="10">
        <f t="shared" si="29"/>
        <v>9.8019193062677173E-2</v>
      </c>
      <c r="J46" s="10">
        <f t="shared" si="29"/>
        <v>0.1035729558503873</v>
      </c>
      <c r="K46" s="10">
        <f t="shared" si="29"/>
        <v>0.19583410970661552</v>
      </c>
      <c r="L46" s="10">
        <f t="shared" si="29"/>
        <v>0.10832561330586558</v>
      </c>
      <c r="M46" s="10">
        <f t="shared" si="29"/>
        <v>0.12654485430489096</v>
      </c>
      <c r="P46" s="32">
        <f>AVERAGE(E46:M46)</f>
        <v>0.11324766483306285</v>
      </c>
      <c r="Q46" s="31">
        <v>0.05</v>
      </c>
      <c r="R46" s="29" t="str">
        <f>IF(P46&gt;=Q46,"SI","NO")</f>
        <v>SI</v>
      </c>
      <c r="S46" t="s">
        <v>157</v>
      </c>
    </row>
    <row r="47" spans="1:19" ht="15.75" x14ac:dyDescent="0.25">
      <c r="P47" s="11"/>
      <c r="Q47" s="11"/>
      <c r="R47" s="11"/>
    </row>
    <row r="48" spans="1:19" ht="15.75" x14ac:dyDescent="0.25">
      <c r="E48" s="7">
        <v>8</v>
      </c>
      <c r="F48" s="7">
        <v>7</v>
      </c>
      <c r="G48" s="7">
        <v>6</v>
      </c>
      <c r="H48" s="7">
        <v>5</v>
      </c>
      <c r="I48" s="7">
        <v>4</v>
      </c>
      <c r="J48" s="7">
        <v>3</v>
      </c>
      <c r="K48" s="7">
        <v>2</v>
      </c>
      <c r="L48" s="7">
        <v>1</v>
      </c>
      <c r="M48" s="7">
        <v>0</v>
      </c>
      <c r="P48" s="11"/>
      <c r="Q48" s="11"/>
      <c r="R48" s="11"/>
    </row>
    <row r="49" spans="1:18" ht="15.75" x14ac:dyDescent="0.25">
      <c r="A49" t="s">
        <v>152</v>
      </c>
      <c r="E49" s="8">
        <f t="shared" ref="E49:M49" si="30">(1+wacc)^E48</f>
        <v>3.0590228625390603</v>
      </c>
      <c r="F49" s="8">
        <f t="shared" si="30"/>
        <v>2.6600198804687483</v>
      </c>
      <c r="G49" s="8">
        <f t="shared" si="30"/>
        <v>2.3130607656249991</v>
      </c>
      <c r="H49" s="8">
        <f t="shared" si="30"/>
        <v>2.0113571874999994</v>
      </c>
      <c r="I49" s="8">
        <f t="shared" si="30"/>
        <v>1.7490062499999994</v>
      </c>
      <c r="J49" s="8">
        <f t="shared" si="30"/>
        <v>1.5208749999999995</v>
      </c>
      <c r="K49" s="8">
        <f t="shared" si="30"/>
        <v>1.3224999999999998</v>
      </c>
      <c r="L49" s="8">
        <f t="shared" si="30"/>
        <v>1.1499999999999999</v>
      </c>
      <c r="M49" s="8">
        <f t="shared" si="30"/>
        <v>1</v>
      </c>
      <c r="P49" s="11"/>
      <c r="Q49" s="11"/>
      <c r="R49" s="11"/>
    </row>
    <row r="50" spans="1:18" ht="15.75" x14ac:dyDescent="0.25">
      <c r="A50" t="s">
        <v>155</v>
      </c>
      <c r="E50" s="9">
        <f>E44*E49</f>
        <v>26889734367.176636</v>
      </c>
      <c r="F50" s="9">
        <f t="shared" ref="F50:M50" si="31">F44*F49</f>
        <v>29498081022.313148</v>
      </c>
      <c r="G50" s="9">
        <f t="shared" si="31"/>
        <v>6030824054.100214</v>
      </c>
      <c r="H50" s="9">
        <f t="shared" si="31"/>
        <v>33944002833.383583</v>
      </c>
      <c r="I50" s="9">
        <f t="shared" si="31"/>
        <v>27748145994.501812</v>
      </c>
      <c r="J50" s="9">
        <f t="shared" si="31"/>
        <v>28751930340.30397</v>
      </c>
      <c r="K50" s="9">
        <f t="shared" si="31"/>
        <v>66725563810.984161</v>
      </c>
      <c r="L50" s="9">
        <f t="shared" si="31"/>
        <v>35040178212.819649</v>
      </c>
      <c r="M50" s="9">
        <f t="shared" si="31"/>
        <v>38666919136.548172</v>
      </c>
      <c r="P50" s="11"/>
      <c r="Q50" s="11"/>
      <c r="R50" s="11"/>
    </row>
    <row r="51" spans="1:18" ht="15.75" x14ac:dyDescent="0.25">
      <c r="A51" t="s">
        <v>156</v>
      </c>
      <c r="E51" s="9">
        <f>E45*E49</f>
        <v>33053871919.236061</v>
      </c>
      <c r="F51" s="9">
        <f t="shared" ref="F51:M51" si="32">F45*F49</f>
        <v>23405145884.906654</v>
      </c>
      <c r="G51" s="9">
        <f t="shared" si="32"/>
        <v>-30036125285.83942</v>
      </c>
      <c r="H51" s="9">
        <f t="shared" si="32"/>
        <v>282517265.36093605</v>
      </c>
      <c r="I51" s="9">
        <f t="shared" si="32"/>
        <v>26256379211.236183</v>
      </c>
      <c r="J51" s="9">
        <f t="shared" si="32"/>
        <v>16888652879.991467</v>
      </c>
      <c r="K51" s="9">
        <f t="shared" si="32"/>
        <v>66255715929.734161</v>
      </c>
      <c r="L51" s="9">
        <f t="shared" si="32"/>
        <v>26450187087.819645</v>
      </c>
      <c r="M51" s="9">
        <f t="shared" si="32"/>
        <v>310015111636.54816</v>
      </c>
      <c r="P51" s="11"/>
      <c r="Q51" s="11"/>
      <c r="R51" s="11"/>
    </row>
    <row r="52" spans="1:18" ht="15.75" x14ac:dyDescent="0.25">
      <c r="A52" t="s">
        <v>149</v>
      </c>
      <c r="E52" s="10">
        <v>0.15</v>
      </c>
      <c r="F52" s="10">
        <v>0.15</v>
      </c>
      <c r="G52" s="10">
        <v>0.15</v>
      </c>
      <c r="H52" s="10">
        <v>0.15</v>
      </c>
      <c r="I52" s="10">
        <v>0.15</v>
      </c>
      <c r="J52" s="10">
        <v>0.15</v>
      </c>
      <c r="K52" s="10">
        <v>0.15</v>
      </c>
      <c r="L52" s="10">
        <v>0.15</v>
      </c>
      <c r="M52" s="10">
        <v>0.15</v>
      </c>
      <c r="P52" s="11"/>
      <c r="Q52" s="11"/>
      <c r="R52" s="11"/>
    </row>
    <row r="54" spans="1:18" ht="15" customHeight="1" x14ac:dyDescent="0.25">
      <c r="E54" s="36" t="s">
        <v>162</v>
      </c>
      <c r="F54" s="37" t="s">
        <v>163</v>
      </c>
      <c r="G54" s="36" t="s">
        <v>197</v>
      </c>
      <c r="H54" s="36"/>
      <c r="I54" s="36"/>
      <c r="J54" s="36"/>
      <c r="K54" s="36"/>
      <c r="L54" s="36"/>
      <c r="M54" s="36"/>
    </row>
    <row r="55" spans="1:18" ht="21" x14ac:dyDescent="0.35">
      <c r="A55" s="13" t="s">
        <v>158</v>
      </c>
      <c r="E55" s="36"/>
      <c r="F55" s="37"/>
      <c r="G55" s="36"/>
      <c r="H55" s="36"/>
      <c r="I55" s="36"/>
      <c r="J55" s="36"/>
      <c r="K55" s="36"/>
      <c r="L55" s="36"/>
      <c r="M55" s="36"/>
    </row>
    <row r="56" spans="1:18" x14ac:dyDescent="0.25">
      <c r="E56" s="39"/>
      <c r="F56" s="38"/>
      <c r="G56" s="36"/>
      <c r="H56" s="36"/>
      <c r="I56" s="36"/>
      <c r="J56" s="36"/>
      <c r="K56" s="36"/>
      <c r="L56" s="36"/>
      <c r="M56" s="36"/>
    </row>
    <row r="57" spans="1:18" ht="15.75" x14ac:dyDescent="0.25">
      <c r="A57" s="14" t="s">
        <v>109</v>
      </c>
      <c r="B57" s="3"/>
      <c r="C57" s="3"/>
      <c r="D57" s="3"/>
      <c r="E57" s="4" t="str">
        <f>R4</f>
        <v>SI</v>
      </c>
      <c r="F57" s="5"/>
      <c r="G57" s="35" t="s">
        <v>198</v>
      </c>
      <c r="H57" s="36"/>
      <c r="I57" s="36"/>
      <c r="J57" s="36"/>
      <c r="K57" s="36"/>
      <c r="L57" s="36"/>
      <c r="M57" s="36"/>
    </row>
    <row r="58" spans="1:18" ht="15.75" x14ac:dyDescent="0.25">
      <c r="A58" s="14" t="s">
        <v>110</v>
      </c>
      <c r="B58" s="3"/>
      <c r="C58" s="3"/>
      <c r="D58" s="3"/>
      <c r="E58" s="4" t="str">
        <f t="shared" ref="E58:E60" si="33">R5</f>
        <v>SI</v>
      </c>
      <c r="F58" s="5"/>
      <c r="G58" s="35"/>
      <c r="H58" s="36"/>
      <c r="I58" s="36"/>
      <c r="J58" s="36"/>
      <c r="K58" s="36"/>
      <c r="L58" s="36"/>
      <c r="M58" s="36"/>
    </row>
    <row r="59" spans="1:18" ht="15.75" x14ac:dyDescent="0.25">
      <c r="A59" s="14" t="s">
        <v>111</v>
      </c>
      <c r="B59" s="3"/>
      <c r="C59" s="3"/>
      <c r="D59" s="3"/>
      <c r="E59" s="4" t="str">
        <f t="shared" si="33"/>
        <v>SI</v>
      </c>
      <c r="F59" s="5" t="str">
        <f>E59</f>
        <v>SI</v>
      </c>
      <c r="G59" s="35" t="s">
        <v>141</v>
      </c>
      <c r="H59" s="36"/>
      <c r="I59" s="36"/>
      <c r="J59" s="36"/>
      <c r="K59" s="36"/>
      <c r="L59" s="36"/>
      <c r="M59" s="36"/>
    </row>
    <row r="60" spans="1:18" ht="15.75" x14ac:dyDescent="0.25">
      <c r="A60" s="14" t="s">
        <v>112</v>
      </c>
      <c r="B60" s="3"/>
      <c r="C60" s="3"/>
      <c r="D60" s="3"/>
      <c r="E60" s="4" t="str">
        <f t="shared" si="33"/>
        <v>SI</v>
      </c>
      <c r="F60" s="5"/>
      <c r="G60" s="40" t="s">
        <v>194</v>
      </c>
      <c r="H60" s="37"/>
      <c r="I60" s="37"/>
      <c r="J60" s="37"/>
      <c r="K60" s="37"/>
      <c r="L60" s="37"/>
      <c r="M60" s="37"/>
    </row>
    <row r="61" spans="1:18" ht="15.75" x14ac:dyDescent="0.25">
      <c r="A61" s="14" t="s">
        <v>113</v>
      </c>
      <c r="B61" s="3"/>
      <c r="C61" s="3"/>
      <c r="D61" s="3"/>
      <c r="E61" s="4" t="str">
        <f t="shared" ref="E61" si="34">R8</f>
        <v>NO</v>
      </c>
      <c r="F61" s="5"/>
      <c r="G61" s="35" t="s">
        <v>195</v>
      </c>
      <c r="H61" s="36"/>
      <c r="I61" s="36"/>
      <c r="J61" s="36"/>
      <c r="K61" s="36"/>
      <c r="L61" s="36"/>
      <c r="M61" s="36"/>
    </row>
    <row r="62" spans="1:18" ht="15.75" x14ac:dyDescent="0.25">
      <c r="A62" s="14" t="s">
        <v>142</v>
      </c>
      <c r="B62" s="3"/>
      <c r="C62" s="3"/>
      <c r="D62" s="3"/>
      <c r="E62" s="4" t="str">
        <f>R10</f>
        <v>SI</v>
      </c>
      <c r="F62" s="5" t="str">
        <f>E62</f>
        <v>SI</v>
      </c>
      <c r="G62" s="35" t="s">
        <v>143</v>
      </c>
      <c r="H62" s="36"/>
      <c r="I62" s="36"/>
      <c r="J62" s="36"/>
      <c r="K62" s="36"/>
      <c r="L62" s="36"/>
      <c r="M62" s="36"/>
    </row>
    <row r="63" spans="1:18" ht="15.75" x14ac:dyDescent="0.25">
      <c r="A63" s="14" t="s">
        <v>115</v>
      </c>
      <c r="B63" s="3"/>
      <c r="C63" s="3"/>
      <c r="D63" s="3"/>
      <c r="E63" s="4" t="str">
        <f>R11</f>
        <v>SI</v>
      </c>
      <c r="F63" s="5"/>
      <c r="G63" s="35" t="s">
        <v>191</v>
      </c>
      <c r="H63" s="36"/>
      <c r="I63" s="36"/>
      <c r="J63" s="36"/>
      <c r="K63" s="36"/>
      <c r="L63" s="36"/>
      <c r="M63" s="36"/>
    </row>
    <row r="64" spans="1:18" ht="15.75" x14ac:dyDescent="0.25">
      <c r="A64" s="14" t="s">
        <v>117</v>
      </c>
      <c r="B64" s="3"/>
      <c r="C64" s="3"/>
      <c r="D64" s="3"/>
      <c r="E64" s="4" t="str">
        <f t="shared" ref="E64:E73" si="35">R15</f>
        <v>SI</v>
      </c>
      <c r="F64" s="5"/>
      <c r="G64" s="35" t="s">
        <v>192</v>
      </c>
      <c r="H64" s="36"/>
      <c r="I64" s="36"/>
      <c r="J64" s="36"/>
      <c r="K64" s="36"/>
      <c r="L64" s="36"/>
      <c r="M64" s="36"/>
    </row>
    <row r="65" spans="1:13" ht="15.75" x14ac:dyDescent="0.25">
      <c r="A65" s="14" t="s">
        <v>118</v>
      </c>
      <c r="B65" s="3"/>
      <c r="C65" s="3"/>
      <c r="D65" s="3"/>
      <c r="E65" s="4" t="str">
        <f t="shared" si="35"/>
        <v>SI</v>
      </c>
      <c r="F65" s="5"/>
      <c r="G65" s="35" t="s">
        <v>165</v>
      </c>
      <c r="H65" s="36"/>
      <c r="I65" s="36"/>
      <c r="J65" s="36"/>
      <c r="K65" s="36"/>
      <c r="L65" s="36"/>
      <c r="M65" s="36"/>
    </row>
    <row r="66" spans="1:13" ht="15.75" x14ac:dyDescent="0.25">
      <c r="A66" s="14" t="s">
        <v>145</v>
      </c>
      <c r="B66" s="3"/>
      <c r="C66" s="3"/>
      <c r="D66" s="3"/>
      <c r="E66" s="4" t="str">
        <f t="shared" si="35"/>
        <v>SI</v>
      </c>
      <c r="F66" s="5"/>
      <c r="G66" s="35" t="s">
        <v>164</v>
      </c>
      <c r="H66" s="36"/>
      <c r="I66" s="36"/>
      <c r="J66" s="36"/>
      <c r="K66" s="36"/>
      <c r="L66" s="36"/>
      <c r="M66" s="36"/>
    </row>
    <row r="67" spans="1:13" ht="15.75" x14ac:dyDescent="0.25">
      <c r="A67" s="14" t="s">
        <v>119</v>
      </c>
      <c r="B67" s="3"/>
      <c r="C67" s="3"/>
      <c r="D67" s="3"/>
      <c r="E67" s="4" t="str">
        <f t="shared" si="35"/>
        <v>SI</v>
      </c>
      <c r="F67" s="5" t="str">
        <f>E67</f>
        <v>SI</v>
      </c>
      <c r="G67" s="35" t="s">
        <v>171</v>
      </c>
      <c r="H67" s="36"/>
      <c r="I67" s="36"/>
      <c r="J67" s="36"/>
      <c r="K67" s="36"/>
      <c r="L67" s="36"/>
      <c r="M67" s="36"/>
    </row>
    <row r="68" spans="1:13" ht="15.75" x14ac:dyDescent="0.25">
      <c r="A68" s="14" t="s">
        <v>120</v>
      </c>
      <c r="B68" s="3"/>
      <c r="C68" s="3"/>
      <c r="D68" s="3"/>
      <c r="E68" s="4" t="str">
        <f t="shared" si="35"/>
        <v>SI</v>
      </c>
      <c r="F68" s="5"/>
      <c r="G68" s="35" t="s">
        <v>146</v>
      </c>
      <c r="H68" s="36"/>
      <c r="I68" s="36"/>
      <c r="J68" s="36"/>
      <c r="K68" s="36"/>
      <c r="L68" s="36"/>
      <c r="M68" s="36"/>
    </row>
    <row r="69" spans="1:13" ht="15.75" x14ac:dyDescent="0.25">
      <c r="A69" s="14" t="s">
        <v>121</v>
      </c>
      <c r="B69" s="3"/>
      <c r="C69" s="3"/>
      <c r="D69" s="3"/>
      <c r="E69" s="4" t="e">
        <f t="shared" si="35"/>
        <v>#REF!</v>
      </c>
      <c r="F69" s="5"/>
      <c r="G69" s="35" t="s">
        <v>199</v>
      </c>
      <c r="H69" s="36"/>
      <c r="I69" s="36"/>
      <c r="J69" s="36"/>
      <c r="K69" s="36"/>
      <c r="L69" s="36"/>
      <c r="M69" s="36"/>
    </row>
    <row r="70" spans="1:13" ht="15.75" x14ac:dyDescent="0.25">
      <c r="A70" s="14" t="s">
        <v>122</v>
      </c>
      <c r="B70" s="3"/>
      <c r="C70" s="3"/>
      <c r="D70" s="3"/>
      <c r="E70" s="4" t="str">
        <f t="shared" si="35"/>
        <v>SI</v>
      </c>
      <c r="F70" s="5"/>
      <c r="G70" s="35" t="s">
        <v>193</v>
      </c>
      <c r="H70" s="36"/>
      <c r="I70" s="36"/>
      <c r="J70" s="36"/>
      <c r="K70" s="36"/>
      <c r="L70" s="36"/>
      <c r="M70" s="36"/>
    </row>
    <row r="71" spans="1:13" ht="15.75" x14ac:dyDescent="0.25">
      <c r="A71" s="14" t="s">
        <v>123</v>
      </c>
      <c r="B71" s="3"/>
      <c r="C71" s="3"/>
      <c r="D71" s="3"/>
      <c r="E71" s="4" t="str">
        <f t="shared" si="35"/>
        <v>NO</v>
      </c>
      <c r="F71" s="5"/>
      <c r="G71" s="35" t="s">
        <v>193</v>
      </c>
      <c r="H71" s="36"/>
      <c r="I71" s="36"/>
      <c r="J71" s="36"/>
      <c r="K71" s="36"/>
      <c r="L71" s="36"/>
      <c r="M71" s="36"/>
    </row>
    <row r="72" spans="1:13" ht="15.75" x14ac:dyDescent="0.25">
      <c r="A72" s="14" t="s">
        <v>124</v>
      </c>
      <c r="B72" s="3"/>
      <c r="C72" s="3"/>
      <c r="D72" s="3"/>
      <c r="E72" s="4" t="str">
        <f t="shared" si="35"/>
        <v>SI</v>
      </c>
      <c r="F72" s="5"/>
      <c r="G72" s="35" t="s">
        <v>193</v>
      </c>
      <c r="H72" s="36"/>
      <c r="I72" s="36"/>
      <c r="J72" s="36"/>
      <c r="K72" s="36"/>
      <c r="L72" s="36"/>
      <c r="M72" s="36"/>
    </row>
    <row r="73" spans="1:13" ht="15.75" x14ac:dyDescent="0.25">
      <c r="A73" s="14" t="s">
        <v>125</v>
      </c>
      <c r="B73" s="3"/>
      <c r="C73" s="3"/>
      <c r="D73" s="3"/>
      <c r="E73" s="4" t="str">
        <f t="shared" si="35"/>
        <v>SI</v>
      </c>
      <c r="F73" s="5"/>
      <c r="G73" s="35" t="s">
        <v>166</v>
      </c>
      <c r="H73" s="36"/>
      <c r="I73" s="36"/>
      <c r="J73" s="36"/>
      <c r="K73" s="36"/>
      <c r="L73" s="36"/>
      <c r="M73" s="36"/>
    </row>
    <row r="74" spans="1:13" ht="15.75" x14ac:dyDescent="0.25">
      <c r="A74" s="14" t="s">
        <v>159</v>
      </c>
      <c r="B74" s="3"/>
      <c r="C74" s="3"/>
      <c r="D74" s="3"/>
      <c r="E74" s="4" t="str">
        <f>R43</f>
        <v>SI</v>
      </c>
      <c r="F74" s="5" t="str">
        <f>E74</f>
        <v>SI</v>
      </c>
      <c r="G74" s="35" t="s">
        <v>167</v>
      </c>
      <c r="H74" s="36"/>
      <c r="I74" s="36"/>
      <c r="J74" s="36"/>
      <c r="K74" s="36" t="s">
        <v>153</v>
      </c>
      <c r="L74" s="36"/>
      <c r="M74" s="36"/>
    </row>
    <row r="75" spans="1:13" ht="15.75" x14ac:dyDescent="0.25">
      <c r="A75" s="14" t="s">
        <v>160</v>
      </c>
      <c r="B75" s="3"/>
      <c r="C75" s="3"/>
      <c r="D75" s="3"/>
      <c r="E75" s="4" t="str">
        <f>R44</f>
        <v>SI</v>
      </c>
      <c r="F75" s="5" t="str">
        <f>E75</f>
        <v>SI</v>
      </c>
      <c r="G75" s="35" t="s">
        <v>170</v>
      </c>
      <c r="H75" s="36"/>
      <c r="I75" s="36"/>
      <c r="J75" s="36"/>
      <c r="K75" s="36" t="s">
        <v>154</v>
      </c>
      <c r="L75" s="36"/>
      <c r="M75" s="36"/>
    </row>
    <row r="76" spans="1:13" ht="15.75" x14ac:dyDescent="0.25">
      <c r="A76" s="14" t="s">
        <v>161</v>
      </c>
      <c r="B76" s="3"/>
      <c r="C76" s="3"/>
      <c r="D76" s="3"/>
      <c r="E76" s="4" t="str">
        <f>R45</f>
        <v>SI</v>
      </c>
      <c r="F76" s="5"/>
      <c r="G76" s="35" t="s">
        <v>168</v>
      </c>
      <c r="H76" s="36"/>
      <c r="I76" s="36"/>
      <c r="J76" s="36"/>
      <c r="K76" s="36"/>
      <c r="L76" s="36"/>
      <c r="M76" s="36"/>
    </row>
    <row r="77" spans="1:13" ht="15.75" x14ac:dyDescent="0.25">
      <c r="A77" s="14" t="s">
        <v>151</v>
      </c>
      <c r="B77" s="3"/>
      <c r="C77" s="3"/>
      <c r="D77" s="3"/>
      <c r="E77" s="4" t="str">
        <f>R46</f>
        <v>SI</v>
      </c>
      <c r="F77" s="5"/>
      <c r="G77" s="35" t="s">
        <v>169</v>
      </c>
      <c r="H77" s="36"/>
      <c r="I77" s="36"/>
      <c r="J77" s="36"/>
      <c r="K77" s="36" t="s">
        <v>157</v>
      </c>
      <c r="L77" s="36"/>
      <c r="M77" s="36"/>
    </row>
  </sheetData>
  <mergeCells count="24">
    <mergeCell ref="F54:F56"/>
    <mergeCell ref="E54:E56"/>
    <mergeCell ref="G54:M56"/>
    <mergeCell ref="G57:M57"/>
    <mergeCell ref="G69:M69"/>
    <mergeCell ref="G58:M58"/>
    <mergeCell ref="G59:M59"/>
    <mergeCell ref="G60:M60"/>
    <mergeCell ref="G61:M61"/>
    <mergeCell ref="G62:M62"/>
    <mergeCell ref="G63:M63"/>
    <mergeCell ref="G64:M64"/>
    <mergeCell ref="G65:M65"/>
    <mergeCell ref="G66:M66"/>
    <mergeCell ref="G67:M67"/>
    <mergeCell ref="G68:M68"/>
    <mergeCell ref="G76:M76"/>
    <mergeCell ref="G77:M77"/>
    <mergeCell ref="G70:M70"/>
    <mergeCell ref="G71:M71"/>
    <mergeCell ref="G72:M72"/>
    <mergeCell ref="G73:M73"/>
    <mergeCell ref="G74:M74"/>
    <mergeCell ref="G75:M75"/>
  </mergeCells>
  <conditionalFormatting sqref="E57:F77">
    <cfRule type="containsText" dxfId="2" priority="1" operator="containsText" text="si">
      <formula>NOT(ISERROR(SEARCH("si",E57)))</formula>
    </cfRule>
    <cfRule type="containsText" dxfId="1" priority="2" operator="containsText" text="NO">
      <formula>NOT(ISERROR(SEARCH("NO",E57)))</formula>
    </cfRule>
    <cfRule type="containsText" dxfId="0" priority="3" operator="containsText" text="SI">
      <formula>NOT(ISERROR(SEARCH("SI",E57)))</formula>
    </cfRule>
  </conditionalFormatting>
  <pageMargins left="0.7" right="0.7" top="0.75" bottom="0.75" header="0.3" footer="0.3"/>
  <ignoredErrors>
    <ignoredError sqref="P6 R5" formula="1"/>
    <ignoredError sqref="E69" evalError="1"/>
    <ignoredError sqref="P20" formulaRang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BC64DE-9A35-4E3D-9CA7-EA3EC444D7C2}">
          <x14:formula1>
            <xm:f>database!$Z$2:$Z$9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57</vt:i4>
      </vt:variant>
    </vt:vector>
  </HeadingPairs>
  <TitlesOfParts>
    <vt:vector size="60" baseType="lpstr">
      <vt:lpstr>database</vt:lpstr>
      <vt:lpstr>salida</vt:lpstr>
      <vt:lpstr>ANALISIS DE VENTAJA COMPETITIVA</vt:lpstr>
      <vt:lpstr>accumulatedDepreciationAmortizationPPE</vt:lpstr>
      <vt:lpstr>BASE_DE_DATOS</vt:lpstr>
      <vt:lpstr>cashAndShortTermInvestments</vt:lpstr>
      <vt:lpstr>COLUMNA</vt:lpstr>
      <vt:lpstr>commonStock</vt:lpstr>
      <vt:lpstr>commonStockSharesOutstanding</vt:lpstr>
      <vt:lpstr>costOfRevenue</vt:lpstr>
      <vt:lpstr>currentAccountsPayable</vt:lpstr>
      <vt:lpstr>currentDebt</vt:lpstr>
      <vt:lpstr>currentNetReceivables</vt:lpstr>
      <vt:lpstr>deferredRevenue</vt:lpstr>
      <vt:lpstr>depreciationAndAmortization</vt:lpstr>
      <vt:lpstr>ebit</vt:lpstr>
      <vt:lpstr>ebitda</vt:lpstr>
      <vt:lpstr>FECHAS</vt:lpstr>
      <vt:lpstr>fechasaapl</vt:lpstr>
      <vt:lpstr>fechasamzn</vt:lpstr>
      <vt:lpstr>fechasgoogl</vt:lpstr>
      <vt:lpstr>fechasko</vt:lpstr>
      <vt:lpstr>fechasmeta</vt:lpstr>
      <vt:lpstr>fechasmsft</vt:lpstr>
      <vt:lpstr>fechasnvda</vt:lpstr>
      <vt:lpstr>fechastsla</vt:lpstr>
      <vt:lpstr>goodwill</vt:lpstr>
      <vt:lpstr>grossProfit</vt:lpstr>
      <vt:lpstr>incomeBeforeTax</vt:lpstr>
      <vt:lpstr>incomeTaxExpense</vt:lpstr>
      <vt:lpstr>intangibleAssetsExcludingGoodwill</vt:lpstr>
      <vt:lpstr>interestExpense</vt:lpstr>
      <vt:lpstr>interestIncome</vt:lpstr>
      <vt:lpstr>inventory</vt:lpstr>
      <vt:lpstr>longTermDebt</vt:lpstr>
      <vt:lpstr>longTermInvestments</vt:lpstr>
      <vt:lpstr>netIncome</vt:lpstr>
      <vt:lpstr>netIncomeFromContinuingOperations</vt:lpstr>
      <vt:lpstr>operatingIncome</vt:lpstr>
      <vt:lpstr>otherCurrentAssets</vt:lpstr>
      <vt:lpstr>otherNonCurrentAssets</vt:lpstr>
      <vt:lpstr>otherNonCurrentLiabilities</vt:lpstr>
      <vt:lpstr>otherNonOperatingIncome</vt:lpstr>
      <vt:lpstr>propertyPlantEquipment</vt:lpstr>
      <vt:lpstr>reportedEPS</vt:lpstr>
      <vt:lpstr>researchAndDevelopment</vt:lpstr>
      <vt:lpstr>retainedEarnings</vt:lpstr>
      <vt:lpstr>sellingGeneralAndAdministrative</vt:lpstr>
      <vt:lpstr>shortTermDebt</vt:lpstr>
      <vt:lpstr>totalAssets</vt:lpstr>
      <vt:lpstr>totalCurrentAssets</vt:lpstr>
      <vt:lpstr>totalCurrentLiabilities</vt:lpstr>
      <vt:lpstr>totalLiabilities</vt:lpstr>
      <vt:lpstr>totalNonCurrentAssets</vt:lpstr>
      <vt:lpstr>totalNonCurrentLiabilities</vt:lpstr>
      <vt:lpstr>totalRevenue</vt:lpstr>
      <vt:lpstr>totalShareholderEquity</vt:lpstr>
      <vt:lpstr>treasuryStock</vt:lpstr>
      <vt:lpstr>wacc</vt:lpstr>
      <vt:lpstr>WORKIG_CAPITAL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donarifacu@gmail.com</dc:creator>
  <cp:lastModifiedBy>donarifacu@gmail.com</cp:lastModifiedBy>
  <dcterms:created xsi:type="dcterms:W3CDTF">2025-01-08T04:09:06Z</dcterms:created>
  <dcterms:modified xsi:type="dcterms:W3CDTF">2025-03-31T20:52:20Z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9deeca1f-e6c3-4205-b02a-a3e7b9a85974</vt:lpwstr>
  </property>
</Properties>
</file>